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0" activeTab="2"/>
  </bookViews>
  <sheets>
    <sheet name="Fiche de renseignements compéti" sheetId="1" r:id="rId1"/>
    <sheet name="organisation" sheetId="2" r:id="rId2"/>
    <sheet name="grille" sheetId="3" r:id="rId3"/>
    <sheet name="poules" sheetId="4" r:id="rId4"/>
    <sheet name="Classement" sheetId="5" r:id="rId5"/>
    <sheet name="Arbitres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fn.COUNTIFS" hidden="1">#NAME?</definedName>
    <definedName name="_xlfn.IFERROR" hidden="1">#NAME?</definedName>
    <definedName name="_xlfn.SHEETS" hidden="1">#NAME?</definedName>
    <definedName name="ArbitreJoueur">L38C4</definedName>
    <definedName name="catégorie" localSheetId="5">'[6]Fiche de renseignements compéti'!$C$5</definedName>
    <definedName name="catégorie" localSheetId="1">'[1]Fiche de renseignements compéti'!$C$5</definedName>
    <definedName name="catégorie">'Fiche de renseignements compéti'!$C$3</definedName>
    <definedName name="date" localSheetId="5">'[6]Fiche de renseignements compéti'!$C$6</definedName>
    <definedName name="date" localSheetId="1">'[1]Fiche de renseignements compéti'!$C$6</definedName>
    <definedName name="date">'Fiche de renseignements compéti'!$C$4</definedName>
    <definedName name="durée1" localSheetId="5">'[6]Fiche de renseignements compéti'!$C$9</definedName>
    <definedName name="durée1" localSheetId="1">'[1]Fiche de renseignements compéti'!$C$9</definedName>
    <definedName name="durée1">'Fiche de renseignements compéti'!$C$7</definedName>
    <definedName name="durée2" localSheetId="5">'[6]Fiche de renseignements compéti'!$C$11</definedName>
    <definedName name="durée2" localSheetId="1">'[2]Fiche de renseignements compéti'!#REF!</definedName>
    <definedName name="durée2">'Fiche de renseignements compéti'!$C$8</definedName>
    <definedName name="durée3" localSheetId="1">'[2]Fiche de renseignements compéti'!#REF!</definedName>
    <definedName name="durée3">'Fiche de renseignements compéti'!$C$9</definedName>
    <definedName name="duréematch">'[2]Fiche de renseignements compéti'!$C$8</definedName>
    <definedName name="e3c">'[3]poules'!$C$26</definedName>
    <definedName name="e3d">'[3]poules'!$C$27</definedName>
    <definedName name="e4x">'[3]poules'!$C$25</definedName>
    <definedName name="edurée1">'[6]Fiche de renseignements compéti'!$C$8</definedName>
    <definedName name="edurée2">'[6]Fiche de renseignements compéti'!$C$10</definedName>
    <definedName name="f_151">'[3]poules'!$C$43</definedName>
    <definedName name="f_152">'[3]poules'!$C$44</definedName>
    <definedName name="f_191">'[3]poules'!$J$39</definedName>
    <definedName name="f_192">'[3]poules'!$J$40</definedName>
    <definedName name="f_1e">'[3]poules'!$P$36</definedName>
    <definedName name="f_1f">'[3]poules'!$T$36</definedName>
    <definedName name="f_1f1">'[3]poules'!$R$43</definedName>
    <definedName name="f_1f2">'[3]poules'!$R$44</definedName>
    <definedName name="f_251">'[3]poules'!$R$39</definedName>
    <definedName name="f_252">'[3]poules'!$R$40</definedName>
    <definedName name="f_291">'[3]poules'!$C$39</definedName>
    <definedName name="f_292">'[3]poules'!$C$40</definedName>
    <definedName name="f_2e">'[3]poules'!$C$35</definedName>
    <definedName name="f_2f">'[3]poules'!$G$36</definedName>
    <definedName name="f_2f1">'[3]poules'!$J$43</definedName>
    <definedName name="f_2f2">'[3]poules'!$J$44</definedName>
    <definedName name="f_3e">'[3]poules'!$G$35</definedName>
    <definedName name="f_3f">'[3]poules'!$C$36</definedName>
    <definedName name="f_3g">'[3]poules'!$P$35</definedName>
    <definedName name="f_4g">'[3]poules'!$T$35</definedName>
    <definedName name="f1_1x">'[3]poules'!$P$31</definedName>
    <definedName name="f1_2g">'[3]poules'!$P$32</definedName>
    <definedName name="F1G">'poules'!$H$51</definedName>
    <definedName name="F1X">'poules'!$C$50</definedName>
    <definedName name="F1Y">'poules'!$H$50</definedName>
    <definedName name="f2_1g">'[3]poules'!$T$32</definedName>
    <definedName name="f2_1y">'[3]poules'!$T$31</definedName>
    <definedName name="F2G">'poules'!$C$51</definedName>
    <definedName name="f3a">'[3]poules'!$C$31</definedName>
    <definedName name="f3b">'[3]poules'!$C$32</definedName>
    <definedName name="f4y">'[3]poules'!$C$30</definedName>
    <definedName name="G2X">'poules'!$C$35</definedName>
    <definedName name="G2Y">'poules'!$C$37</definedName>
    <definedName name="G3X">'poules'!$C$36</definedName>
    <definedName name="G3Y">'poules'!$C$38</definedName>
    <definedName name="H1V">'poules'!$C$43</definedName>
    <definedName name="H1W">'poules'!$C$45</definedName>
    <definedName name="H2V">'poules'!$C$44</definedName>
    <definedName name="H2W">'poules'!$C$46</definedName>
    <definedName name="horaire1match">'Fiche de renseignements compéti'!$C$10</definedName>
    <definedName name="horairedebdim">'Fiche de renseignements compéti'!$C$11</definedName>
    <definedName name="I3V">'poules'!$P$35</definedName>
    <definedName name="I3W">'poules'!$P$37</definedName>
    <definedName name="I4V">'poules'!$P$36</definedName>
    <definedName name="I4W">'poules'!$P$38</definedName>
    <definedName name="_xlnm.Print_Titles" localSheetId="2">'grille'!$1:$6</definedName>
    <definedName name="J1H">'poules'!$P$45</definedName>
    <definedName name="J4X">'poules'!$P$43</definedName>
    <definedName name="J4Y">'poules'!$P$44</definedName>
    <definedName name="lieu" localSheetId="5">'[6]Fiche de renseignements compéti'!$C$7</definedName>
    <definedName name="lieu" localSheetId="1">'[1]Fiche de renseignements compéti'!$C$7</definedName>
    <definedName name="lieu">'Fiche de renseignements compéti'!$C$5</definedName>
    <definedName name="m10b">'[3]calcul'!$K$11</definedName>
    <definedName name="m10n">'[3]calcul'!$J$11</definedName>
    <definedName name="m11b">'[3]calcul'!$K$12</definedName>
    <definedName name="M11N">'[3]calcul'!$J$12</definedName>
    <definedName name="m12b">'[3]calcul'!$K$13</definedName>
    <definedName name="m12n">'[3]calcul'!$J$13</definedName>
    <definedName name="m13b">'[3]calcul'!$K$14</definedName>
    <definedName name="m13n">'[3]calcul'!$J$14</definedName>
    <definedName name="m14b">'[3]calcul'!$K$15</definedName>
    <definedName name="m14n">'[3]calcul'!$J$15</definedName>
    <definedName name="m15b">'[3]calcul'!$K$16</definedName>
    <definedName name="m15n">'[3]calcul'!$J$16</definedName>
    <definedName name="m16n">'[3]calcul'!$J$17</definedName>
    <definedName name="m17b">'[3]calcul'!$K$18</definedName>
    <definedName name="m17n">'[3]calcul'!$J$18</definedName>
    <definedName name="m18b">'[3]calcul'!$K$19</definedName>
    <definedName name="m18n">'[3]calcul'!$J$19</definedName>
    <definedName name="m19b">'[3]calcul'!$K$20</definedName>
    <definedName name="m19n">'[3]calcul'!$J$20</definedName>
    <definedName name="m1b">'[3]calcul'!$K$2</definedName>
    <definedName name="M1F1">'poules'!$T$50</definedName>
    <definedName name="M1F2">'poules'!$T$51</definedName>
    <definedName name="m1n">'[3]calcul'!$J$2</definedName>
    <definedName name="m2_1">'[4]poules'!$C$21</definedName>
    <definedName name="m2_2">'[4]poules'!$X$21</definedName>
    <definedName name="m2_3">'[4]poules'!$P$21</definedName>
    <definedName name="m2_4">'[4]poules'!$G$21</definedName>
    <definedName name="m2_5">'[4]poules'!$G$22</definedName>
    <definedName name="m2_6">'[4]poules'!$P$22</definedName>
    <definedName name="m2_7">'[4]poules'!$X$22</definedName>
    <definedName name="m2_8">'[4]poules'!$C$22</definedName>
    <definedName name="m2_g29">'[4]poules'!$Q$26</definedName>
    <definedName name="m2_g30">'[4]poules'!$Q$25</definedName>
    <definedName name="m2_g31">'[4]poules'!$Z$26</definedName>
    <definedName name="m2_g32">'[4]poules'!$Z$25</definedName>
    <definedName name="m2_g33">'[4]poules'!$H$30</definedName>
    <definedName name="m2_g34">'[4]poules'!$H$29</definedName>
    <definedName name="m2_g35">'[4]poules'!$Z$30</definedName>
    <definedName name="m2_g36">'[4]poules'!$Z$29</definedName>
    <definedName name="m2_p29">'[4]poules'!$C$26</definedName>
    <definedName name="m2_p30">'[4]poules'!$C$25</definedName>
    <definedName name="m2_p31">'[4]poules'!$H$26</definedName>
    <definedName name="m2_p32">'[4]poules'!$H$25</definedName>
    <definedName name="m2_p33">'[4]poules'!$C$30</definedName>
    <definedName name="m2_p34">'[4]poules'!$C$29</definedName>
    <definedName name="m2_p35">'[4]poules'!$Q$30</definedName>
    <definedName name="m2_p36">'[4]poules'!$Q$29</definedName>
    <definedName name="m20b">'[3]calcul'!$K$21</definedName>
    <definedName name="m20n">'[3]calcul'!$J$21</definedName>
    <definedName name="m21b">'[3]calcul'!$K$22</definedName>
    <definedName name="m21n">'[3]calcul'!$J$22</definedName>
    <definedName name="m22b">'[3]calcul'!$K$23</definedName>
    <definedName name="m22n">'[3]calcul'!$J$23</definedName>
    <definedName name="m23b">'[3]calcul'!$K$27</definedName>
    <definedName name="m23n">'[3]calcul'!$J$27</definedName>
    <definedName name="m24b">'[3]calcul'!$K$28</definedName>
    <definedName name="m24n">'[3]calcul'!$J$28</definedName>
    <definedName name="m25b">'[3]calcul'!$K$29</definedName>
    <definedName name="m25n">'[3]calcul'!$J$29</definedName>
    <definedName name="m26b">'[3]calcul'!$K$30</definedName>
    <definedName name="m26n">'[3]calcul'!$J$30</definedName>
    <definedName name="m27b">'[3]calcul'!$K$31</definedName>
    <definedName name="m27n">'[3]calcul'!$J$31</definedName>
    <definedName name="m28b">'[3]calcul'!$K$32</definedName>
    <definedName name="m28n">'[3]calcul'!$J$32</definedName>
    <definedName name="m29b">'[3]calcul'!$K$33</definedName>
    <definedName name="m29n">'[3]calcul'!$J$33</definedName>
    <definedName name="m2a">'[4]Fiche de renseignements compéti'!$B$17</definedName>
    <definedName name="m2b">'[4]Fiche de renseignements compéti'!$B$18</definedName>
    <definedName name="m2c">'[4]Fiche de renseignements compéti'!$B$19</definedName>
    <definedName name="m2d">'[4]Fiche de renseignements compéti'!$B$20</definedName>
    <definedName name="m2e">'[4]Fiche de renseignements compéti'!$B$21</definedName>
    <definedName name="m2f">'[4]Fiche de renseignements compéti'!$B$22</definedName>
    <definedName name="M2F1">'poules'!$O$50</definedName>
    <definedName name="M2F2">'poules'!$O$51</definedName>
    <definedName name="m2g">'[4]Fiche de renseignements compéti'!$B$23</definedName>
    <definedName name="m2h">'[4]Fiche de renseignements compéti'!$B$24</definedName>
    <definedName name="m2n">'[3]calcul'!$J$3</definedName>
    <definedName name="m30b">'[3]calcul'!$K$34</definedName>
    <definedName name="m30n">'[3]calcul'!$J$34</definedName>
    <definedName name="m3b">'[3]calcul'!$K$4</definedName>
    <definedName name="m3n">'[3]calcul'!$J$4</definedName>
    <definedName name="m4b">'[3]calcul'!$K$5</definedName>
    <definedName name="m4n">'[3]calcul'!$J$5</definedName>
    <definedName name="m5b">'[3]calcul'!$K$6</definedName>
    <definedName name="m5n">'[3]calcul'!$J$6</definedName>
    <definedName name="m6b">'[3]calcul'!$K$7</definedName>
    <definedName name="m6n">'[3]calcul'!$J$7</definedName>
    <definedName name="m7b">'[3]calcul'!$K$8</definedName>
    <definedName name="m7n">'[3]calcul'!$J$8</definedName>
    <definedName name="m8b">'[3]calcul'!$K$9</definedName>
    <definedName name="m8n">'[3]calcul'!$J$9</definedName>
    <definedName name="m9b">'[3]calcul'!$K$10</definedName>
    <definedName name="m9n">'[3]calcul'!$J$10</definedName>
    <definedName name="ma2b">'[3]calcul'!$K$3</definedName>
    <definedName name="NombreMatchsPauseRepas">'Fiche de renseignements compéti'!$D$39</definedName>
    <definedName name="PA1" localSheetId="5">'[6]Fiche de renseignements compéti'!$B$16</definedName>
    <definedName name="PA1" localSheetId="1">'[1]poules'!$C$7</definedName>
    <definedName name="PA1">'Fiche de renseignements compéti'!$B$15</definedName>
    <definedName name="PA13" localSheetId="1">'[1]poules'!$C$10</definedName>
    <definedName name="pa13">'Fiche de renseignements compéti'!$B$18</definedName>
    <definedName name="PA3">'[6]Fiche de renseignements compéti'!$B$17</definedName>
    <definedName name="PA5" localSheetId="5">'[6]Fiche de renseignements compéti'!$B$18</definedName>
    <definedName name="PA5" localSheetId="1">'[1]poules'!$C$8</definedName>
    <definedName name="PA5">'Fiche de renseignements compéti'!$B$16</definedName>
    <definedName name="PA7">'[6]Fiche de renseignements compéti'!$B$19</definedName>
    <definedName name="PA9" localSheetId="5">'[6]Fiche de renseignements compéti'!$B$20</definedName>
    <definedName name="PA9" localSheetId="1">'[1]poules'!$C$9</definedName>
    <definedName name="PA9">'Fiche de renseignements compéti'!$B$17</definedName>
    <definedName name="PB10" localSheetId="5">'[6]Fiche de renseignements compéti'!$B$27</definedName>
    <definedName name="PB10" localSheetId="1">'[1]poules'!$P$9</definedName>
    <definedName name="PB10">'Fiche de renseignements compéti'!$B$23</definedName>
    <definedName name="PB14">'Fiche de renseignements compéti'!$B$24</definedName>
    <definedName name="PB2" localSheetId="5">'[6]Fiche de renseignements compéti'!$B$23</definedName>
    <definedName name="PB2" localSheetId="1">'[1]poules'!$P$7</definedName>
    <definedName name="PB2">'Fiche de renseignements compéti'!$B$21</definedName>
    <definedName name="PB4">'[6]Fiche de renseignements compéti'!$B$24</definedName>
    <definedName name="PB6" localSheetId="5">'[6]Fiche de renseignements compéti'!$B$25</definedName>
    <definedName name="PB6" localSheetId="1">'[1]poules'!$P$8</definedName>
    <definedName name="PB6">'Fiche de renseignements compéti'!$B$22</definedName>
    <definedName name="PB8">'[6]Fiche de renseignements compéti'!$B$26</definedName>
    <definedName name="PC11" localSheetId="1">'[1]poules'!$C$16</definedName>
    <definedName name="PC11">'Fiche de renseignements compéti'!$B$29</definedName>
    <definedName name="PC15">'Fiche de renseignements compéti'!$B$30</definedName>
    <definedName name="PC3" localSheetId="1">'[1]poules'!$C$14</definedName>
    <definedName name="PC3">'Fiche de renseignements compéti'!$B$27</definedName>
    <definedName name="PC7" localSheetId="1">'[1]poules'!$C$15</definedName>
    <definedName name="PC7">'Fiche de renseignements compéti'!$B$28</definedName>
    <definedName name="PD12" localSheetId="1">'[1]poules'!$P$16</definedName>
    <definedName name="PD12">'Fiche de renseignements compéti'!$B$35</definedName>
    <definedName name="PD16">'Fiche de renseignements compéti'!$B$36</definedName>
    <definedName name="PD4" localSheetId="1">'[1]poules'!$P$14</definedName>
    <definedName name="PD4">'Fiche de renseignements compéti'!$B$33</definedName>
    <definedName name="PD8" localSheetId="1">'[1]poules'!$P$15</definedName>
    <definedName name="PD8">'Fiche de renseignements compéti'!$B$34</definedName>
    <definedName name="saison" localSheetId="5">'[6]Fiche de renseignements compéti'!$C$4</definedName>
    <definedName name="saison" localSheetId="1">'[1]Fiche de renseignements compéti'!$C$4</definedName>
    <definedName name="saison">'Fiche de renseignements compéti'!$C$2</definedName>
    <definedName name="SB1">'[6]grille'!$H$9</definedName>
    <definedName name="SB13">'[6]grille'!$H$22</definedName>
    <definedName name="SB19">'[6]grille'!$H$28</definedName>
    <definedName name="SB7">'[6]grille'!$H$15</definedName>
    <definedName name="SN1">'[6]grille'!$G$9</definedName>
    <definedName name="SN13">'[6]grille'!$G$22</definedName>
    <definedName name="SN19">'[6]grille'!$G$28</definedName>
    <definedName name="SN7">'[6]grille'!$G$15</definedName>
    <definedName name="SurveillanceAquatique">'[2]grille'!#REF!</definedName>
    <definedName name="SurveillanceAquatiqueB2">'[5]poules'!#REF!</definedName>
    <definedName name="V3A">'poules'!$C$28</definedName>
    <definedName name="V3B">'poules'!$C$30</definedName>
    <definedName name="V4A">'poules'!$C$29</definedName>
    <definedName name="V4B">'poules'!$C$31</definedName>
    <definedName name="W3C">'poules'!$P$28</definedName>
    <definedName name="W3D">'poules'!$P$30</definedName>
    <definedName name="W4C">'poules'!$P$29</definedName>
    <definedName name="W4D">'poules'!$P$31</definedName>
    <definedName name="X1A">'poules'!$C$21</definedName>
    <definedName name="X1B">'poules'!$C$23</definedName>
    <definedName name="X2A">'poules'!$C$22</definedName>
    <definedName name="X2B">'poules'!$C$24</definedName>
    <definedName name="Y1C">'poules'!$P$21</definedName>
    <definedName name="Y1D">'poules'!$P$23</definedName>
    <definedName name="Y2C">'poules'!$P$22</definedName>
    <definedName name="Y2D">'poules'!$P$24</definedName>
    <definedName name="_xlnm.Print_Area" localSheetId="2">'grille'!$A$1:$R$68</definedName>
    <definedName name="_xlnm.Print_Area" localSheetId="1">'organisation'!$A$1:$J$35</definedName>
  </definedNames>
  <calcPr fullCalcOnLoad="1"/>
</workbook>
</file>

<file path=xl/sharedStrings.xml><?xml version="1.0" encoding="utf-8"?>
<sst xmlns="http://schemas.openxmlformats.org/spreadsheetml/2006/main" count="586" uniqueCount="252">
  <si>
    <t>Horaires</t>
  </si>
  <si>
    <t>Noir</t>
  </si>
  <si>
    <t>Blanc</t>
  </si>
  <si>
    <t>Principal</t>
  </si>
  <si>
    <t>Arbitres</t>
  </si>
  <si>
    <t>Equipes Blanches</t>
  </si>
  <si>
    <t>Equipes Noires</t>
  </si>
  <si>
    <t>Rep</t>
  </si>
  <si>
    <t>Dimanche</t>
  </si>
  <si>
    <t>N°</t>
  </si>
  <si>
    <t>Samedi</t>
  </si>
  <si>
    <t>A1</t>
  </si>
  <si>
    <t>A5</t>
  </si>
  <si>
    <t>B2</t>
  </si>
  <si>
    <t>C3</t>
  </si>
  <si>
    <t>D4</t>
  </si>
  <si>
    <t>B6</t>
  </si>
  <si>
    <t>C7</t>
  </si>
  <si>
    <t>D8</t>
  </si>
  <si>
    <t>A9</t>
  </si>
  <si>
    <t>B10</t>
  </si>
  <si>
    <t>C11</t>
  </si>
  <si>
    <t>D12</t>
  </si>
  <si>
    <t>1A</t>
  </si>
  <si>
    <t>2A</t>
  </si>
  <si>
    <t>1C</t>
  </si>
  <si>
    <t>2C</t>
  </si>
  <si>
    <t>2B</t>
  </si>
  <si>
    <t>1B</t>
  </si>
  <si>
    <t>2D</t>
  </si>
  <si>
    <t>1D</t>
  </si>
  <si>
    <t>3C</t>
  </si>
  <si>
    <t>3D</t>
  </si>
  <si>
    <t>3A</t>
  </si>
  <si>
    <t>3B</t>
  </si>
  <si>
    <t>2X</t>
  </si>
  <si>
    <t>3X</t>
  </si>
  <si>
    <t>4X</t>
  </si>
  <si>
    <t>4Y</t>
  </si>
  <si>
    <t>3Y</t>
  </si>
  <si>
    <t>2Y</t>
  </si>
  <si>
    <t>1X</t>
  </si>
  <si>
    <t>1Y</t>
  </si>
  <si>
    <t>2f1</t>
  </si>
  <si>
    <t>1f1</t>
  </si>
  <si>
    <t>1f2</t>
  </si>
  <si>
    <t>2f2</t>
  </si>
  <si>
    <t>1G</t>
  </si>
  <si>
    <t>2G</t>
  </si>
  <si>
    <t>Coté Gradins au départ</t>
  </si>
  <si>
    <t xml:space="preserve">  Coté vitres au départ</t>
  </si>
  <si>
    <t xml:space="preserve">      Score</t>
  </si>
  <si>
    <t>Surveillance</t>
  </si>
  <si>
    <t>Jour</t>
  </si>
  <si>
    <t>Poule A</t>
  </si>
  <si>
    <t>Poule B</t>
  </si>
  <si>
    <t>Poule C</t>
  </si>
  <si>
    <t>Poule D</t>
  </si>
  <si>
    <t>Match F1</t>
  </si>
  <si>
    <t>Match F2</t>
  </si>
  <si>
    <t>Match 3/4</t>
  </si>
  <si>
    <t>Match 1/2</t>
  </si>
  <si>
    <t xml:space="preserve">Les poules (G,H,I,J) se joueront en : 2 x 8’ + 2 x 1’ (1 temps mort par match par équipe) + 2’ de mi-temps </t>
  </si>
  <si>
    <t>Les ½ Finales et Finales se joueront en : 2 x 8’ + 2 x 1’ (2 temps mort par match par équipe) + 3’ de mi-temps</t>
  </si>
  <si>
    <t xml:space="preserve">Remarques : </t>
  </si>
  <si>
    <t xml:space="preserve">Lieu : </t>
  </si>
  <si>
    <t>Date :</t>
  </si>
  <si>
    <t>Saison :</t>
  </si>
  <si>
    <t>A13</t>
  </si>
  <si>
    <t>B14</t>
  </si>
  <si>
    <t>Buts
Contre</t>
  </si>
  <si>
    <t>Buts
Pour</t>
  </si>
  <si>
    <t>Cl.t</t>
  </si>
  <si>
    <t>Catégorie :</t>
  </si>
  <si>
    <t>C15</t>
  </si>
  <si>
    <t>D16</t>
  </si>
  <si>
    <t>Poule X*</t>
  </si>
  <si>
    <t>Poule Y*</t>
  </si>
  <si>
    <t>Poule V*</t>
  </si>
  <si>
    <t>Poule W*</t>
  </si>
  <si>
    <t>4A</t>
  </si>
  <si>
    <t>4B</t>
  </si>
  <si>
    <t>4C</t>
  </si>
  <si>
    <t>4D</t>
  </si>
  <si>
    <t>Poule J</t>
  </si>
  <si>
    <t>Poule G*</t>
  </si>
  <si>
    <t>Poule I*</t>
  </si>
  <si>
    <t>3V</t>
  </si>
  <si>
    <t>4V</t>
  </si>
  <si>
    <t>3W</t>
  </si>
  <si>
    <t>4W</t>
  </si>
  <si>
    <r>
      <t>5</t>
    </r>
    <r>
      <rPr>
        <b/>
        <vertAlign val="superscript"/>
        <sz val="12"/>
        <rFont val="Arial"/>
        <family val="2"/>
      </rPr>
      <t>ème</t>
    </r>
  </si>
  <si>
    <r>
      <t>6</t>
    </r>
    <r>
      <rPr>
        <b/>
        <vertAlign val="superscript"/>
        <sz val="12"/>
        <rFont val="Arial"/>
        <family val="2"/>
      </rPr>
      <t>ème</t>
    </r>
  </si>
  <si>
    <t>3G :</t>
  </si>
  <si>
    <t>4G :</t>
  </si>
  <si>
    <t>1I :</t>
  </si>
  <si>
    <r>
      <t>13</t>
    </r>
    <r>
      <rPr>
        <b/>
        <vertAlign val="superscript"/>
        <sz val="12"/>
        <rFont val="Arial"/>
        <family val="2"/>
      </rPr>
      <t>ème</t>
    </r>
  </si>
  <si>
    <t>2I :</t>
  </si>
  <si>
    <r>
      <t>14</t>
    </r>
    <r>
      <rPr>
        <b/>
        <vertAlign val="superscript"/>
        <sz val="12"/>
        <rFont val="Arial"/>
        <family val="2"/>
      </rPr>
      <t>ème</t>
    </r>
  </si>
  <si>
    <r>
      <t>15</t>
    </r>
    <r>
      <rPr>
        <b/>
        <vertAlign val="superscript"/>
        <sz val="12"/>
        <rFont val="Arial"/>
        <family val="2"/>
      </rPr>
      <t>ème</t>
    </r>
  </si>
  <si>
    <t>3I :</t>
  </si>
  <si>
    <t>4I :</t>
  </si>
  <si>
    <r>
      <t>16</t>
    </r>
    <r>
      <rPr>
        <b/>
        <vertAlign val="superscript"/>
        <sz val="12"/>
        <rFont val="Arial"/>
        <family val="2"/>
      </rPr>
      <t>ème</t>
    </r>
  </si>
  <si>
    <t>1H</t>
  </si>
  <si>
    <t>1V</t>
  </si>
  <si>
    <t>2V</t>
  </si>
  <si>
    <t>1W</t>
  </si>
  <si>
    <t>2W</t>
  </si>
  <si>
    <t>Poule H*</t>
  </si>
  <si>
    <t>2H :</t>
  </si>
  <si>
    <r>
      <t>10</t>
    </r>
    <r>
      <rPr>
        <b/>
        <vertAlign val="superscript"/>
        <sz val="12"/>
        <rFont val="Arial"/>
        <family val="2"/>
      </rPr>
      <t>ème</t>
    </r>
  </si>
  <si>
    <t>3H :</t>
  </si>
  <si>
    <r>
      <t>11</t>
    </r>
    <r>
      <rPr>
        <b/>
        <vertAlign val="superscript"/>
        <sz val="12"/>
        <rFont val="Arial"/>
        <family val="2"/>
      </rPr>
      <t>ème</t>
    </r>
  </si>
  <si>
    <t>4H:</t>
  </si>
  <si>
    <r>
      <t>12</t>
    </r>
    <r>
      <rPr>
        <b/>
        <vertAlign val="superscript"/>
        <sz val="12"/>
        <rFont val="Arial"/>
        <family val="2"/>
      </rPr>
      <t>ème</t>
    </r>
  </si>
  <si>
    <t>1J:</t>
  </si>
  <si>
    <t>3J :</t>
  </si>
  <si>
    <t>2J :</t>
  </si>
  <si>
    <r>
      <t>9</t>
    </r>
    <r>
      <rPr>
        <b/>
        <vertAlign val="superscript"/>
        <sz val="12"/>
        <rFont val="Arial"/>
        <family val="2"/>
      </rPr>
      <t>ème</t>
    </r>
  </si>
  <si>
    <r>
      <t>8</t>
    </r>
    <r>
      <rPr>
        <b/>
        <vertAlign val="superscript"/>
        <sz val="12"/>
        <rFont val="Arial"/>
        <family val="2"/>
      </rPr>
      <t>ème</t>
    </r>
  </si>
  <si>
    <t>(*)      Tous les matches déjà joués dans les poules précédentes ne sont pas rejoués.</t>
  </si>
  <si>
    <t>Saison</t>
  </si>
  <si>
    <t>Catégorie</t>
  </si>
  <si>
    <t>Date</t>
  </si>
  <si>
    <t>Lieu</t>
  </si>
  <si>
    <t>Durée des matchs poules A,B C et D
X, Y, V et W</t>
  </si>
  <si>
    <t>Durée des matchs poules G H I et J</t>
  </si>
  <si>
    <t>Durée des 1/2 finales et finales</t>
  </si>
  <si>
    <t>Durée des matchs</t>
  </si>
  <si>
    <t xml:space="preserve">Durée des Matchs </t>
  </si>
  <si>
    <t xml:space="preserve">Durée des matchs </t>
  </si>
  <si>
    <t>horaire 1er match samedi</t>
  </si>
  <si>
    <t>horaire 1 match dimanche</t>
  </si>
  <si>
    <t>POULE A</t>
  </si>
  <si>
    <t>POULE B</t>
  </si>
  <si>
    <t>POULE C</t>
  </si>
  <si>
    <t>POULE D</t>
  </si>
  <si>
    <t>1A; 2A;3A;4A</t>
  </si>
  <si>
    <t>1B;2B;3B;4B</t>
  </si>
  <si>
    <t>1C;2C; 3C;4C</t>
  </si>
  <si>
    <t>1D;2D;3D;4D</t>
  </si>
  <si>
    <t>POULE X*</t>
  </si>
  <si>
    <t>POULE V*</t>
  </si>
  <si>
    <t>POULE Y*</t>
  </si>
  <si>
    <t>POULE W*</t>
  </si>
  <si>
    <t>1X; 2X;3X;4X</t>
  </si>
  <si>
    <t>1V;2V;3V;4V</t>
  </si>
  <si>
    <t>1Y; 2Y;3Y;4Y</t>
  </si>
  <si>
    <t>1W;2W;3W;4W</t>
  </si>
  <si>
    <t>POULE G*</t>
  </si>
  <si>
    <t>POULE I*</t>
  </si>
  <si>
    <t>POULE H*</t>
  </si>
  <si>
    <t>POULE J</t>
  </si>
  <si>
    <t>1J; 2J;3J</t>
  </si>
  <si>
    <t>1G; 2G;3G;4G</t>
  </si>
  <si>
    <t>1I; 2I;3I ;4I</t>
  </si>
  <si>
    <t>1H; 2H;3H ;4H</t>
  </si>
  <si>
    <t>MATCH F1</t>
  </si>
  <si>
    <t>MATCH F2</t>
  </si>
  <si>
    <t>1F1;2F1</t>
  </si>
  <si>
    <t>1F2;2F2</t>
  </si>
  <si>
    <t>1F1</t>
  </si>
  <si>
    <t>2F1</t>
  </si>
  <si>
    <t>1F2</t>
  </si>
  <si>
    <t>2F2</t>
  </si>
  <si>
    <t xml:space="preserve"> Les poules (: A , B , C , D , X , Y , V, W)  se joueront en   2 x 7’ + 2 x 1’ (1 temps mort par match par équipe) + 2’ de mi-temps </t>
  </si>
  <si>
    <t xml:space="preserve">A1 </t>
  </si>
  <si>
    <t>PoulesABCDXYVW :2*7'+2' mi temps +3' i-m = 19 '</t>
  </si>
  <si>
    <t>Pt.</t>
  </si>
  <si>
    <t>Club</t>
  </si>
  <si>
    <t>NOM</t>
  </si>
  <si>
    <t>PRENOM</t>
  </si>
  <si>
    <t>Prénom Nom</t>
  </si>
  <si>
    <t>PRINCIPAL</t>
  </si>
  <si>
    <t>AQUATIQUE</t>
  </si>
  <si>
    <t>CRITERE</t>
  </si>
  <si>
    <t>Stephane</t>
  </si>
  <si>
    <t>Guillaume</t>
  </si>
  <si>
    <t>Laurent</t>
  </si>
  <si>
    <t>Stéphane</t>
  </si>
  <si>
    <t>Sébastien</t>
  </si>
  <si>
    <t>Hervé</t>
  </si>
  <si>
    <t>Fabien</t>
  </si>
  <si>
    <t>Vincent</t>
  </si>
  <si>
    <t>REPOS</t>
  </si>
  <si>
    <t>SELECTED</t>
  </si>
  <si>
    <t>REPAS</t>
  </si>
  <si>
    <t>F</t>
  </si>
  <si>
    <t>LAST GAME</t>
  </si>
  <si>
    <t>Aquatiques</t>
  </si>
  <si>
    <t>Nom</t>
  </si>
  <si>
    <t>Prénom</t>
  </si>
  <si>
    <t>Equipe 1</t>
  </si>
  <si>
    <t>Equipe 2</t>
  </si>
  <si>
    <t>Equipe 3</t>
  </si>
  <si>
    <t>Equipe 4</t>
  </si>
  <si>
    <t>Equipe 5</t>
  </si>
  <si>
    <t>Equipe 6</t>
  </si>
  <si>
    <t>Equipe 7</t>
  </si>
  <si>
    <t>Equipe 8</t>
  </si>
  <si>
    <t>Equipe 9</t>
  </si>
  <si>
    <r>
      <t>7</t>
    </r>
    <r>
      <rPr>
        <b/>
        <vertAlign val="superscript"/>
        <sz val="12"/>
        <rFont val="Arial"/>
        <family val="2"/>
      </rPr>
      <t>ème</t>
    </r>
  </si>
  <si>
    <t>Nombre de matchs de repos pour la pause repas :</t>
  </si>
  <si>
    <t>$O$27</t>
  </si>
  <si>
    <t>$N$28</t>
  </si>
  <si>
    <t>$O$28</t>
  </si>
  <si>
    <t>$M$29</t>
  </si>
  <si>
    <t>$N$29</t>
  </si>
  <si>
    <t>$O$29</t>
  </si>
  <si>
    <t>$M$30</t>
  </si>
  <si>
    <t>$N$30</t>
  </si>
  <si>
    <t>$O$30</t>
  </si>
  <si>
    <t>Matchs arbitrés par les joueurs des équipes engagées (non forfaite) :</t>
  </si>
  <si>
    <t>Non</t>
  </si>
  <si>
    <t>TRUC1</t>
  </si>
  <si>
    <t>MUCHE2</t>
  </si>
  <si>
    <t>BIDULE3</t>
  </si>
  <si>
    <t>ZOZO4</t>
  </si>
  <si>
    <t>ZAZA5</t>
  </si>
  <si>
    <t>LOLO6</t>
  </si>
  <si>
    <t>KIKI7</t>
  </si>
  <si>
    <t>FLUTE8</t>
  </si>
  <si>
    <t>DUDU9</t>
  </si>
  <si>
    <t>H.TRUC1</t>
  </si>
  <si>
    <t>V.MUCHE2</t>
  </si>
  <si>
    <t>L.BIDULE3</t>
  </si>
  <si>
    <t>S.ZOZO4</t>
  </si>
  <si>
    <t>G.ZAZA5</t>
  </si>
  <si>
    <t>S.LOLO6</t>
  </si>
  <si>
    <t>S.KIKI7</t>
  </si>
  <si>
    <t>S.FLUTE8</t>
  </si>
  <si>
    <t>F.DUDU9</t>
  </si>
  <si>
    <t>PONTOISE/ASNIERES</t>
  </si>
  <si>
    <t>PONTIVY/LA BERNERIE</t>
  </si>
  <si>
    <t>LAGNY 1</t>
  </si>
  <si>
    <t>COMPIEGNE/CORBIE/LILLE</t>
  </si>
  <si>
    <t>HYERES</t>
  </si>
  <si>
    <t>LE CHESNAY/CLAMART</t>
  </si>
  <si>
    <t>MOIRANS/LE PUY</t>
  </si>
  <si>
    <t>NEUILLY</t>
  </si>
  <si>
    <t>LAGNY 2</t>
  </si>
  <si>
    <t>RENNES</t>
  </si>
  <si>
    <t>MULHOUSE</t>
  </si>
  <si>
    <t>PESSAC 1</t>
  </si>
  <si>
    <t>PESSAC 2</t>
  </si>
  <si>
    <t>LA ROCHELLE/ST ASTIER</t>
  </si>
  <si>
    <t>STRASBOURG</t>
  </si>
  <si>
    <t>FORFAIT</t>
  </si>
  <si>
    <t>2021-2022</t>
  </si>
  <si>
    <t>Benjamins</t>
  </si>
  <si>
    <t>14 et 15 mai 2022</t>
  </si>
  <si>
    <t>Lagny sur Marne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</si>
</sst>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h:mm"/>
    <numFmt numFmtId="175" formatCode="h:mm;@"/>
    <numFmt numFmtId="176" formatCode="&quot;Vrai&quot;;&quot;Vrai&quot;;&quot;Faux&quot;"/>
    <numFmt numFmtId="177" formatCode="&quot;Actif&quot;;&quot;Actif&quot;;&quot;Inactif&quot;"/>
  </numFmts>
  <fonts count="57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Times New Roman"/>
      <family val="0"/>
    </font>
    <font>
      <b/>
      <vertAlign val="superscript"/>
      <sz val="14"/>
      <color indexed="8"/>
      <name val="Times New Roman"/>
      <family val="0"/>
    </font>
    <font>
      <b/>
      <vertAlign val="superscript"/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15" xfId="0" applyFont="1" applyFill="1" applyBorder="1" applyAlignment="1">
      <alignment horizontal="center" vertical="center"/>
    </xf>
    <xf numFmtId="0" fontId="1" fillId="1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1" fillId="36" borderId="16" xfId="0" applyFont="1" applyFill="1" applyBorder="1" applyAlignment="1" applyProtection="1">
      <alignment horizontal="center" vertical="center"/>
      <protection locked="0"/>
    </xf>
    <xf numFmtId="0" fontId="1" fillId="36" borderId="13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9" borderId="21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vertical="center"/>
      <protection/>
    </xf>
    <xf numFmtId="0" fontId="7" fillId="37" borderId="0" xfId="0" applyFont="1" applyFill="1" applyAlignment="1" applyProtection="1">
      <alignment vertical="center"/>
      <protection/>
    </xf>
    <xf numFmtId="0" fontId="7" fillId="37" borderId="0" xfId="0" applyFont="1" applyFill="1" applyAlignment="1" applyProtection="1">
      <alignment vertical="center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7" fillId="38" borderId="23" xfId="0" applyFont="1" applyFill="1" applyBorder="1" applyAlignment="1" applyProtection="1">
      <alignment horizontal="center" vertical="center"/>
      <protection/>
    </xf>
    <xf numFmtId="0" fontId="7" fillId="38" borderId="21" xfId="0" applyFont="1" applyFill="1" applyBorder="1" applyAlignment="1" applyProtection="1">
      <alignment horizontal="center" vertical="center"/>
      <protection/>
    </xf>
    <xf numFmtId="0" fontId="7" fillId="35" borderId="21" xfId="0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 applyProtection="1">
      <alignment vertical="center"/>
      <protection/>
    </xf>
    <xf numFmtId="0" fontId="7" fillId="38" borderId="25" xfId="0" applyFont="1" applyFill="1" applyBorder="1" applyAlignment="1" applyProtection="1">
      <alignment horizontal="center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55" applyAlignment="1">
      <alignment horizontal="left" wrapText="1"/>
      <protection/>
    </xf>
    <xf numFmtId="0" fontId="0" fillId="0" borderId="0" xfId="55" applyAlignment="1">
      <alignment wrapText="1"/>
      <protection/>
    </xf>
    <xf numFmtId="0" fontId="0" fillId="0" borderId="0" xfId="55">
      <alignment/>
      <protection/>
    </xf>
    <xf numFmtId="0" fontId="1" fillId="0" borderId="21" xfId="55" applyFont="1" applyBorder="1" applyAlignment="1">
      <alignment horizontal="left" wrapText="1"/>
      <protection/>
    </xf>
    <xf numFmtId="0" fontId="1" fillId="0" borderId="21" xfId="55" applyFont="1" applyBorder="1" applyAlignment="1">
      <alignment wrapText="1"/>
      <protection/>
    </xf>
    <xf numFmtId="0" fontId="1" fillId="0" borderId="0" xfId="55" applyFont="1" applyAlignment="1">
      <alignment horizontal="left" wrapText="1"/>
      <protection/>
    </xf>
    <xf numFmtId="0" fontId="1" fillId="0" borderId="0" xfId="55" applyFont="1" applyAlignment="1">
      <alignment wrapText="1"/>
      <protection/>
    </xf>
    <xf numFmtId="0" fontId="0" fillId="0" borderId="0" xfId="55" applyAlignment="1">
      <alignment horizontal="left"/>
      <protection/>
    </xf>
    <xf numFmtId="0" fontId="7" fillId="0" borderId="0" xfId="55" applyFont="1" applyProtection="1">
      <alignment/>
      <protection/>
    </xf>
    <xf numFmtId="0" fontId="1" fillId="0" borderId="0" xfId="55" applyFont="1" applyAlignment="1" applyProtection="1">
      <alignment horizontal="center"/>
      <protection/>
    </xf>
    <xf numFmtId="0" fontId="0" fillId="0" borderId="0" xfId="55" applyProtection="1">
      <alignment/>
      <protection/>
    </xf>
    <xf numFmtId="0" fontId="7" fillId="0" borderId="0" xfId="55" applyFont="1" applyAlignment="1" applyProtection="1">
      <alignment vertical="center"/>
      <protection/>
    </xf>
    <xf numFmtId="0" fontId="1" fillId="0" borderId="0" xfId="55" applyFont="1" applyAlignment="1" applyProtection="1">
      <alignment horizontal="center" vertical="center"/>
      <protection/>
    </xf>
    <xf numFmtId="0" fontId="1" fillId="0" borderId="0" xfId="55" applyFont="1" applyAlignment="1" applyProtection="1">
      <alignment vertical="center"/>
      <protection/>
    </xf>
    <xf numFmtId="0" fontId="15" fillId="0" borderId="0" xfId="55" applyFont="1" applyBorder="1" applyAlignment="1" applyProtection="1">
      <alignment horizontal="center" vertical="center"/>
      <protection/>
    </xf>
    <xf numFmtId="0" fontId="15" fillId="0" borderId="26" xfId="55" applyFont="1" applyBorder="1" applyAlignment="1" applyProtection="1">
      <alignment vertical="center"/>
      <protection/>
    </xf>
    <xf numFmtId="0" fontId="0" fillId="0" borderId="27" xfId="55" applyBorder="1" applyAlignment="1" applyProtection="1">
      <alignment/>
      <protection/>
    </xf>
    <xf numFmtId="0" fontId="15" fillId="0" borderId="27" xfId="55" applyFont="1" applyBorder="1" applyAlignment="1" applyProtection="1">
      <alignment vertical="center"/>
      <protection/>
    </xf>
    <xf numFmtId="0" fontId="7" fillId="0" borderId="0" xfId="55" applyFont="1" applyProtection="1">
      <alignment/>
      <protection locked="0"/>
    </xf>
    <xf numFmtId="0" fontId="1" fillId="0" borderId="0" xfId="55" applyFont="1" applyAlignment="1" applyProtection="1">
      <alignment horizontal="center"/>
      <protection locked="0"/>
    </xf>
    <xf numFmtId="0" fontId="7" fillId="0" borderId="0" xfId="55" applyFont="1">
      <alignment/>
      <protection/>
    </xf>
    <xf numFmtId="0" fontId="1" fillId="37" borderId="21" xfId="55" applyFont="1" applyFill="1" applyBorder="1" applyAlignment="1">
      <alignment vertical="center"/>
      <protection/>
    </xf>
    <xf numFmtId="0" fontId="1" fillId="37" borderId="28" xfId="55" applyFont="1" applyFill="1" applyBorder="1" applyAlignment="1">
      <alignment horizontal="center" vertical="center"/>
      <protection/>
    </xf>
    <xf numFmtId="0" fontId="1" fillId="0" borderId="0" xfId="55" applyFont="1" applyAlignment="1">
      <alignment horizontal="center"/>
      <protection/>
    </xf>
    <xf numFmtId="0" fontId="7" fillId="37" borderId="29" xfId="55" applyFont="1" applyFill="1" applyBorder="1" applyAlignment="1">
      <alignment vertical="center"/>
      <protection/>
    </xf>
    <xf numFmtId="0" fontId="1" fillId="37" borderId="30" xfId="55" applyFont="1" applyFill="1" applyBorder="1" applyAlignment="1">
      <alignment horizontal="center" vertical="center"/>
      <protection/>
    </xf>
    <xf numFmtId="0" fontId="7" fillId="37" borderId="21" xfId="55" applyFont="1" applyFill="1" applyBorder="1" applyAlignment="1">
      <alignment vertical="center"/>
      <protection/>
    </xf>
    <xf numFmtId="20" fontId="1" fillId="0" borderId="21" xfId="55" applyNumberFormat="1" applyFont="1" applyBorder="1" applyAlignment="1">
      <alignment wrapText="1"/>
      <protection/>
    </xf>
    <xf numFmtId="20" fontId="3" fillId="37" borderId="0" xfId="0" applyNumberFormat="1" applyFont="1" applyFill="1" applyBorder="1" applyAlignment="1" applyProtection="1">
      <alignment horizontal="center" vertical="center"/>
      <protection locked="0"/>
    </xf>
    <xf numFmtId="0" fontId="3" fillId="37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 vertical="center"/>
    </xf>
    <xf numFmtId="0" fontId="3" fillId="37" borderId="0" xfId="0" applyFont="1" applyFill="1" applyBorder="1" applyAlignment="1" applyProtection="1">
      <alignment horizontal="center" vertical="center"/>
      <protection locked="0"/>
    </xf>
    <xf numFmtId="0" fontId="0" fillId="37" borderId="0" xfId="0" applyNumberForma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37" borderId="0" xfId="0" applyFill="1" applyBorder="1" applyAlignment="1" applyProtection="1">
      <alignment vertical="center"/>
      <protection locked="0"/>
    </xf>
    <xf numFmtId="0" fontId="12" fillId="35" borderId="31" xfId="54" applyFont="1" applyFill="1" applyBorder="1" applyAlignment="1">
      <alignment horizontal="center" vertical="center"/>
      <protection/>
    </xf>
    <xf numFmtId="0" fontId="16" fillId="0" borderId="0" xfId="54" applyFont="1" applyAlignment="1">
      <alignment horizontal="center" vertical="center"/>
      <protection/>
    </xf>
    <xf numFmtId="0" fontId="16" fillId="35" borderId="32" xfId="54" applyFont="1" applyFill="1" applyBorder="1" applyAlignment="1">
      <alignment horizontal="center" vertical="center"/>
      <protection/>
    </xf>
    <xf numFmtId="0" fontId="16" fillId="35" borderId="21" xfId="54" applyFont="1" applyFill="1" applyBorder="1" applyAlignment="1">
      <alignment horizontal="center" vertical="center"/>
      <protection/>
    </xf>
    <xf numFmtId="0" fontId="16" fillId="35" borderId="33" xfId="54" applyFont="1" applyFill="1" applyBorder="1" applyAlignment="1">
      <alignment horizontal="center" vertical="center"/>
      <protection/>
    </xf>
    <xf numFmtId="0" fontId="17" fillId="35" borderId="15" xfId="54" applyFont="1" applyFill="1" applyBorder="1" applyAlignment="1">
      <alignment horizontal="center" vertical="center"/>
      <protection/>
    </xf>
    <xf numFmtId="0" fontId="12" fillId="39" borderId="31" xfId="54" applyFont="1" applyFill="1" applyBorder="1" applyAlignment="1">
      <alignment horizontal="center" vertical="center"/>
      <protection/>
    </xf>
    <xf numFmtId="0" fontId="12" fillId="40" borderId="31" xfId="54" applyFont="1" applyFill="1" applyBorder="1" applyAlignment="1">
      <alignment horizontal="center" vertical="center"/>
      <protection/>
    </xf>
    <xf numFmtId="0" fontId="16" fillId="39" borderId="32" xfId="54" applyFont="1" applyFill="1" applyBorder="1" applyAlignment="1">
      <alignment horizontal="center" vertical="center"/>
      <protection/>
    </xf>
    <xf numFmtId="0" fontId="16" fillId="40" borderId="32" xfId="54" applyFont="1" applyFill="1" applyBorder="1" applyAlignment="1">
      <alignment horizontal="center" vertical="center"/>
      <protection/>
    </xf>
    <xf numFmtId="0" fontId="16" fillId="39" borderId="21" xfId="54" applyFont="1" applyFill="1" applyBorder="1" applyAlignment="1">
      <alignment horizontal="center" vertical="center"/>
      <protection/>
    </xf>
    <xf numFmtId="0" fontId="16" fillId="40" borderId="21" xfId="54" applyFont="1" applyFill="1" applyBorder="1" applyAlignment="1">
      <alignment horizontal="center" vertical="center"/>
      <protection/>
    </xf>
    <xf numFmtId="0" fontId="16" fillId="39" borderId="34" xfId="54" applyFont="1" applyFill="1" applyBorder="1" applyAlignment="1">
      <alignment horizontal="center" vertical="center"/>
      <protection/>
    </xf>
    <xf numFmtId="0" fontId="16" fillId="40" borderId="34" xfId="54" applyFont="1" applyFill="1" applyBorder="1" applyAlignment="1">
      <alignment horizontal="center" vertical="center"/>
      <protection/>
    </xf>
    <xf numFmtId="0" fontId="16" fillId="39" borderId="33" xfId="54" applyFont="1" applyFill="1" applyBorder="1" applyAlignment="1">
      <alignment horizontal="center" vertical="center"/>
      <protection/>
    </xf>
    <xf numFmtId="0" fontId="16" fillId="40" borderId="33" xfId="54" applyFont="1" applyFill="1" applyBorder="1" applyAlignment="1">
      <alignment horizontal="center" vertical="center"/>
      <protection/>
    </xf>
    <xf numFmtId="0" fontId="17" fillId="39" borderId="15" xfId="54" applyFont="1" applyFill="1" applyBorder="1" applyAlignment="1">
      <alignment horizontal="center" vertical="center"/>
      <protection/>
    </xf>
    <xf numFmtId="0" fontId="17" fillId="40" borderId="15" xfId="54" applyFont="1" applyFill="1" applyBorder="1" applyAlignment="1">
      <alignment horizontal="center" vertical="center"/>
      <protection/>
    </xf>
    <xf numFmtId="0" fontId="12" fillId="15" borderId="31" xfId="54" applyFont="1" applyFill="1" applyBorder="1" applyAlignment="1">
      <alignment horizontal="center" vertical="center"/>
      <protection/>
    </xf>
    <xf numFmtId="0" fontId="16" fillId="15" borderId="32" xfId="54" applyFont="1" applyFill="1" applyBorder="1" applyAlignment="1">
      <alignment horizontal="center" vertical="center"/>
      <protection/>
    </xf>
    <xf numFmtId="0" fontId="16" fillId="15" borderId="21" xfId="54" applyFont="1" applyFill="1" applyBorder="1" applyAlignment="1">
      <alignment horizontal="center" vertical="center"/>
      <protection/>
    </xf>
    <xf numFmtId="0" fontId="16" fillId="15" borderId="34" xfId="54" applyFont="1" applyFill="1" applyBorder="1" applyAlignment="1">
      <alignment horizontal="center" vertical="center"/>
      <protection/>
    </xf>
    <xf numFmtId="0" fontId="16" fillId="15" borderId="33" xfId="54" applyFont="1" applyFill="1" applyBorder="1" applyAlignment="1">
      <alignment horizontal="center" vertical="center"/>
      <protection/>
    </xf>
    <xf numFmtId="0" fontId="17" fillId="15" borderId="15" xfId="54" applyFont="1" applyFill="1" applyBorder="1" applyAlignment="1">
      <alignment horizontal="center" vertical="center"/>
      <protection/>
    </xf>
    <xf numFmtId="0" fontId="12" fillId="41" borderId="31" xfId="54" applyFont="1" applyFill="1" applyBorder="1" applyAlignment="1">
      <alignment horizontal="center" vertical="center"/>
      <protection/>
    </xf>
    <xf numFmtId="0" fontId="16" fillId="41" borderId="32" xfId="54" applyFont="1" applyFill="1" applyBorder="1" applyAlignment="1">
      <alignment horizontal="center" vertical="center"/>
      <protection/>
    </xf>
    <xf numFmtId="0" fontId="16" fillId="41" borderId="33" xfId="54" applyFont="1" applyFill="1" applyBorder="1" applyAlignment="1">
      <alignment horizontal="center" vertical="center"/>
      <protection/>
    </xf>
    <xf numFmtId="0" fontId="17" fillId="41" borderId="15" xfId="54" applyFont="1" applyFill="1" applyBorder="1" applyAlignment="1">
      <alignment horizontal="center" vertical="center"/>
      <protection/>
    </xf>
    <xf numFmtId="0" fontId="12" fillId="42" borderId="35" xfId="54" applyFont="1" applyFill="1" applyBorder="1" applyAlignment="1">
      <alignment horizontal="center" vertical="center"/>
      <protection/>
    </xf>
    <xf numFmtId="0" fontId="12" fillId="42" borderId="36" xfId="54" applyFont="1" applyFill="1" applyBorder="1" applyAlignment="1">
      <alignment horizontal="center" vertical="center"/>
      <protection/>
    </xf>
    <xf numFmtId="0" fontId="3" fillId="9" borderId="15" xfId="0" applyFont="1" applyFill="1" applyBorder="1" applyAlignment="1">
      <alignment horizontal="center" vertical="center"/>
    </xf>
    <xf numFmtId="0" fontId="7" fillId="9" borderId="22" xfId="0" applyFont="1" applyFill="1" applyBorder="1" applyAlignment="1" applyProtection="1">
      <alignment vertical="center"/>
      <protection/>
    </xf>
    <xf numFmtId="0" fontId="7" fillId="9" borderId="37" xfId="0" applyFont="1" applyFill="1" applyBorder="1" applyAlignment="1" applyProtection="1">
      <alignment vertical="center"/>
      <protection/>
    </xf>
    <xf numFmtId="0" fontId="7" fillId="9" borderId="24" xfId="0" applyFont="1" applyFill="1" applyBorder="1" applyAlignment="1" applyProtection="1">
      <alignment vertical="center"/>
      <protection/>
    </xf>
    <xf numFmtId="0" fontId="7" fillId="43" borderId="22" xfId="0" applyFont="1" applyFill="1" applyBorder="1" applyAlignment="1" applyProtection="1">
      <alignment vertical="center"/>
      <protection/>
    </xf>
    <xf numFmtId="0" fontId="7" fillId="43" borderId="37" xfId="0" applyFont="1" applyFill="1" applyBorder="1" applyAlignment="1" applyProtection="1">
      <alignment vertical="center"/>
      <protection/>
    </xf>
    <xf numFmtId="0" fontId="7" fillId="43" borderId="24" xfId="0" applyFont="1" applyFill="1" applyBorder="1" applyAlignment="1" applyProtection="1">
      <alignment vertical="center"/>
      <protection/>
    </xf>
    <xf numFmtId="0" fontId="7" fillId="44" borderId="22" xfId="0" applyFont="1" applyFill="1" applyBorder="1" applyAlignment="1" applyProtection="1">
      <alignment vertical="center"/>
      <protection/>
    </xf>
    <xf numFmtId="0" fontId="7" fillId="44" borderId="37" xfId="0" applyFont="1" applyFill="1" applyBorder="1" applyAlignment="1" applyProtection="1">
      <alignment vertical="center"/>
      <protection/>
    </xf>
    <xf numFmtId="0" fontId="7" fillId="44" borderId="24" xfId="0" applyFont="1" applyFill="1" applyBorder="1" applyAlignment="1" applyProtection="1">
      <alignment vertical="center"/>
      <protection/>
    </xf>
    <xf numFmtId="0" fontId="3" fillId="44" borderId="15" xfId="0" applyFont="1" applyFill="1" applyBorder="1" applyAlignment="1">
      <alignment horizontal="center" vertical="center"/>
    </xf>
    <xf numFmtId="0" fontId="3" fillId="44" borderId="15" xfId="0" applyFont="1" applyFill="1" applyBorder="1" applyAlignment="1" applyProtection="1">
      <alignment horizontal="center" vertical="center"/>
      <protection locked="0"/>
    </xf>
    <xf numFmtId="0" fontId="7" fillId="19" borderId="22" xfId="0" applyFont="1" applyFill="1" applyBorder="1" applyAlignment="1" applyProtection="1">
      <alignment vertical="center"/>
      <protection/>
    </xf>
    <xf numFmtId="0" fontId="7" fillId="19" borderId="37" xfId="0" applyFont="1" applyFill="1" applyBorder="1" applyAlignment="1" applyProtection="1">
      <alignment vertical="center"/>
      <protection/>
    </xf>
    <xf numFmtId="0" fontId="7" fillId="19" borderId="24" xfId="0" applyFont="1" applyFill="1" applyBorder="1" applyAlignment="1" applyProtection="1">
      <alignment vertical="center"/>
      <protection/>
    </xf>
    <xf numFmtId="0" fontId="7" fillId="19" borderId="22" xfId="0" applyFont="1" applyFill="1" applyBorder="1" applyAlignment="1" applyProtection="1">
      <alignment vertical="center"/>
      <protection/>
    </xf>
    <xf numFmtId="0" fontId="3" fillId="19" borderId="15" xfId="0" applyFont="1" applyFill="1" applyBorder="1" applyAlignment="1">
      <alignment horizontal="center" vertical="center"/>
    </xf>
    <xf numFmtId="0" fontId="3" fillId="19" borderId="15" xfId="0" applyFont="1" applyFill="1" applyBorder="1" applyAlignment="1" applyProtection="1">
      <alignment horizontal="center" vertical="center"/>
      <protection locked="0"/>
    </xf>
    <xf numFmtId="167" fontId="3" fillId="44" borderId="15" xfId="0" applyNumberFormat="1" applyFont="1" applyFill="1" applyBorder="1" applyAlignment="1" applyProtection="1">
      <alignment horizontal="center" vertical="center"/>
      <protection locked="0"/>
    </xf>
    <xf numFmtId="0" fontId="3" fillId="45" borderId="15" xfId="0" applyFont="1" applyFill="1" applyBorder="1" applyAlignment="1" applyProtection="1">
      <alignment horizontal="center" vertical="center"/>
      <protection locked="0"/>
    </xf>
    <xf numFmtId="2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45" borderId="15" xfId="0" applyFont="1" applyFill="1" applyBorder="1" applyAlignment="1">
      <alignment horizontal="center" vertical="center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vertical="center"/>
    </xf>
    <xf numFmtId="0" fontId="0" fillId="33" borderId="14" xfId="0" applyFill="1" applyBorder="1" applyAlignment="1" applyProtection="1">
      <alignment vertical="center"/>
      <protection locked="0"/>
    </xf>
    <xf numFmtId="20" fontId="3" fillId="34" borderId="15" xfId="0" applyNumberFormat="1" applyFont="1" applyFill="1" applyBorder="1" applyAlignment="1" applyProtection="1">
      <alignment horizontal="center" vertical="center"/>
      <protection locked="0"/>
    </xf>
    <xf numFmtId="0" fontId="3" fillId="9" borderId="15" xfId="0" applyFont="1" applyFill="1" applyBorder="1" applyAlignment="1">
      <alignment horizontal="center" vertical="center" shrinkToFit="1"/>
    </xf>
    <xf numFmtId="0" fontId="3" fillId="35" borderId="15" xfId="0" applyFont="1" applyFill="1" applyBorder="1" applyAlignment="1" applyProtection="1">
      <alignment horizontal="center" vertical="center" shrinkToFit="1"/>
      <protection locked="0"/>
    </xf>
    <xf numFmtId="0" fontId="3" fillId="45" borderId="15" xfId="0" applyFont="1" applyFill="1" applyBorder="1" applyAlignment="1" applyProtection="1">
      <alignment horizontal="center" vertical="center" shrinkToFit="1"/>
      <protection locked="0"/>
    </xf>
    <xf numFmtId="0" fontId="3" fillId="37" borderId="0" xfId="0" applyFont="1" applyFill="1" applyBorder="1" applyAlignment="1" applyProtection="1">
      <alignment horizontal="center" vertical="center" shrinkToFit="1"/>
      <protection locked="0"/>
    </xf>
    <xf numFmtId="0" fontId="3" fillId="44" borderId="15" xfId="0" applyFont="1" applyFill="1" applyBorder="1" applyAlignment="1" applyProtection="1">
      <alignment horizontal="center" vertical="center" shrinkToFit="1"/>
      <protection locked="0"/>
    </xf>
    <xf numFmtId="0" fontId="3" fillId="19" borderId="15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 applyProtection="1">
      <alignment vertical="center" shrinkToFit="1"/>
      <protection/>
    </xf>
    <xf numFmtId="0" fontId="3" fillId="0" borderId="15" xfId="0" applyFont="1" applyBorder="1" applyAlignment="1" applyProtection="1" quotePrefix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0" fillId="0" borderId="21" xfId="55" applyNumberFormat="1" applyFont="1" applyFill="1" applyBorder="1" applyAlignment="1">
      <alignment horizontal="center"/>
      <protection/>
    </xf>
    <xf numFmtId="0" fontId="0" fillId="0" borderId="21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12" fillId="9" borderId="21" xfId="0" applyFont="1" applyFill="1" applyBorder="1" applyAlignment="1">
      <alignment horizontal="center" vertical="center" shrinkToFit="1"/>
    </xf>
    <xf numFmtId="0" fontId="7" fillId="0" borderId="21" xfId="0" applyFont="1" applyBorder="1" applyAlignment="1" applyProtection="1">
      <alignment horizontal="center" vertical="center"/>
      <protection locked="0"/>
    </xf>
    <xf numFmtId="0" fontId="1" fillId="38" borderId="21" xfId="0" applyFont="1" applyFill="1" applyBorder="1" applyAlignment="1" applyProtection="1">
      <alignment horizontal="center" vertical="center"/>
      <protection/>
    </xf>
    <xf numFmtId="0" fontId="12" fillId="43" borderId="21" xfId="0" applyFont="1" applyFill="1" applyBorder="1" applyAlignment="1">
      <alignment horizontal="center" vertical="center" shrinkToFit="1"/>
    </xf>
    <xf numFmtId="0" fontId="12" fillId="44" borderId="21" xfId="0" applyFont="1" applyFill="1" applyBorder="1" applyAlignment="1">
      <alignment horizontal="center" vertical="center" shrinkToFit="1"/>
    </xf>
    <xf numFmtId="0" fontId="12" fillId="43" borderId="23" xfId="0" applyFont="1" applyFill="1" applyBorder="1" applyAlignment="1">
      <alignment horizontal="center" vertical="center" shrinkToFit="1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9" borderId="23" xfId="0" applyFont="1" applyFill="1" applyBorder="1" applyAlignment="1" applyProtection="1">
      <alignment vertical="center"/>
      <protection/>
    </xf>
    <xf numFmtId="0" fontId="7" fillId="9" borderId="38" xfId="0" applyFont="1" applyFill="1" applyBorder="1" applyAlignment="1">
      <alignment vertical="center"/>
    </xf>
    <xf numFmtId="0" fontId="7" fillId="9" borderId="28" xfId="0" applyFont="1" applyFill="1" applyBorder="1" applyAlignment="1">
      <alignment vertical="center"/>
    </xf>
    <xf numFmtId="0" fontId="12" fillId="43" borderId="25" xfId="0" applyFont="1" applyFill="1" applyBorder="1" applyAlignment="1">
      <alignment horizontal="center" vertical="center" shrinkToFit="1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9" borderId="25" xfId="0" applyFont="1" applyFill="1" applyBorder="1" applyAlignment="1" applyProtection="1">
      <alignment vertical="center"/>
      <protection/>
    </xf>
    <xf numFmtId="0" fontId="7" fillId="9" borderId="39" xfId="0" applyFont="1" applyFill="1" applyBorder="1" applyAlignment="1">
      <alignment vertical="center"/>
    </xf>
    <xf numFmtId="0" fontId="12" fillId="44" borderId="23" xfId="0" applyFont="1" applyFill="1" applyBorder="1" applyAlignment="1">
      <alignment horizontal="center" vertical="center" shrinkToFit="1"/>
    </xf>
    <xf numFmtId="0" fontId="12" fillId="44" borderId="25" xfId="0" applyFont="1" applyFill="1" applyBorder="1" applyAlignment="1">
      <alignment horizontal="center" vertical="center" shrinkToFit="1"/>
    </xf>
    <xf numFmtId="0" fontId="12" fillId="9" borderId="23" xfId="0" applyFont="1" applyFill="1" applyBorder="1" applyAlignment="1">
      <alignment horizontal="center" vertical="center" shrinkToFit="1"/>
    </xf>
    <xf numFmtId="0" fontId="12" fillId="9" borderId="25" xfId="0" applyFont="1" applyFill="1" applyBorder="1" applyAlignment="1">
      <alignment horizontal="center" vertical="center" shrinkToFit="1"/>
    </xf>
    <xf numFmtId="1" fontId="7" fillId="35" borderId="23" xfId="0" applyNumberFormat="1" applyFont="1" applyFill="1" applyBorder="1" applyAlignment="1" applyProtection="1">
      <alignment horizontal="center" vertical="center"/>
      <protection/>
    </xf>
    <xf numFmtId="1" fontId="7" fillId="35" borderId="21" xfId="0" applyNumberFormat="1" applyFont="1" applyFill="1" applyBorder="1" applyAlignment="1" applyProtection="1">
      <alignment horizontal="center" vertical="center"/>
      <protection/>
    </xf>
    <xf numFmtId="1" fontId="7" fillId="35" borderId="2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5" borderId="38" xfId="0" applyFont="1" applyFill="1" applyBorder="1" applyAlignment="1" applyProtection="1">
      <alignment horizontal="center" vertical="center"/>
      <protection/>
    </xf>
    <xf numFmtId="0" fontId="7" fillId="35" borderId="39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35" borderId="23" xfId="0" applyFont="1" applyFill="1" applyBorder="1" applyAlignment="1" applyProtection="1">
      <alignment horizontal="center" vertical="center"/>
      <protection/>
    </xf>
    <xf numFmtId="0" fontId="6" fillId="38" borderId="23" xfId="0" applyFont="1" applyFill="1" applyBorder="1" applyAlignment="1" applyProtection="1">
      <alignment horizontal="center" vertical="center"/>
      <protection/>
    </xf>
    <xf numFmtId="0" fontId="6" fillId="35" borderId="21" xfId="0" applyFont="1" applyFill="1" applyBorder="1" applyAlignment="1" applyProtection="1" quotePrefix="1">
      <alignment horizontal="center" vertical="center"/>
      <protection/>
    </xf>
    <xf numFmtId="0" fontId="6" fillId="38" borderId="21" xfId="0" applyFont="1" applyFill="1" applyBorder="1" applyAlignment="1" applyProtection="1">
      <alignment horizontal="center" vertical="center"/>
      <protection/>
    </xf>
    <xf numFmtId="0" fontId="6" fillId="35" borderId="21" xfId="0" applyFont="1" applyFill="1" applyBorder="1" applyAlignment="1" applyProtection="1">
      <alignment horizontal="center" vertical="center"/>
      <protection/>
    </xf>
    <xf numFmtId="0" fontId="6" fillId="38" borderId="25" xfId="0" applyFont="1" applyFill="1" applyBorder="1" applyAlignment="1" applyProtection="1">
      <alignment horizontal="center" vertical="center"/>
      <protection/>
    </xf>
    <xf numFmtId="0" fontId="6" fillId="35" borderId="25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7" fillId="38" borderId="23" xfId="0" applyFont="1" applyFill="1" applyBorder="1" applyAlignment="1" applyProtection="1">
      <alignment horizontal="center" vertical="center"/>
      <protection/>
    </xf>
    <xf numFmtId="0" fontId="7" fillId="35" borderId="21" xfId="0" applyFont="1" applyFill="1" applyBorder="1" applyAlignment="1" applyProtection="1">
      <alignment horizontal="center" vertical="center"/>
      <protection/>
    </xf>
    <xf numFmtId="0" fontId="7" fillId="38" borderId="25" xfId="0" applyFont="1" applyFill="1" applyBorder="1" applyAlignment="1" applyProtection="1">
      <alignment horizontal="center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" fillId="35" borderId="23" xfId="0" applyFont="1" applyFill="1" applyBorder="1" applyAlignment="1" applyProtection="1">
      <alignment horizontal="center" vertical="center" shrinkToFit="1"/>
      <protection/>
    </xf>
    <xf numFmtId="0" fontId="1" fillId="35" borderId="25" xfId="0" applyFont="1" applyFill="1" applyBorder="1" applyAlignment="1" applyProtection="1">
      <alignment horizontal="center" vertical="center" shrinkToFit="1"/>
      <protection/>
    </xf>
    <xf numFmtId="0" fontId="8" fillId="37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36" borderId="15" xfId="0" applyFont="1" applyFill="1" applyBorder="1" applyAlignment="1" applyProtection="1">
      <alignment horizontal="center" vertical="center" shrinkToFit="1"/>
      <protection locked="0"/>
    </xf>
    <xf numFmtId="0" fontId="8" fillId="36" borderId="15" xfId="0" applyNumberFormat="1" applyFont="1" applyFill="1" applyBorder="1" applyAlignment="1" applyProtection="1">
      <alignment horizontal="center" vertical="center" shrinkToFit="1"/>
      <protection locked="0"/>
    </xf>
    <xf numFmtId="0" fontId="18" fillId="36" borderId="15" xfId="0" applyFont="1" applyFill="1" applyBorder="1" applyAlignment="1" applyProtection="1">
      <alignment horizontal="center" vertical="center" shrinkToFit="1"/>
      <protection locked="0"/>
    </xf>
    <xf numFmtId="0" fontId="18" fillId="36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36" borderId="40" xfId="0" applyNumberFormat="1" applyFont="1" applyFill="1" applyBorder="1" applyAlignment="1" applyProtection="1">
      <alignment horizontal="center" vertical="center"/>
      <protection locked="0"/>
    </xf>
    <xf numFmtId="0" fontId="0" fillId="36" borderId="40" xfId="0" applyNumberForma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>
      <alignment vertical="center"/>
    </xf>
    <xf numFmtId="0" fontId="7" fillId="46" borderId="22" xfId="0" applyFont="1" applyFill="1" applyBorder="1" applyAlignment="1" applyProtection="1">
      <alignment vertical="center"/>
      <protection/>
    </xf>
    <xf numFmtId="0" fontId="7" fillId="46" borderId="37" xfId="0" applyFont="1" applyFill="1" applyBorder="1" applyAlignment="1" applyProtection="1">
      <alignment vertical="center"/>
      <protection/>
    </xf>
    <xf numFmtId="0" fontId="7" fillId="46" borderId="24" xfId="0" applyFont="1" applyFill="1" applyBorder="1" applyAlignment="1" applyProtection="1">
      <alignment vertical="center"/>
      <protection/>
    </xf>
    <xf numFmtId="0" fontId="7" fillId="46" borderId="38" xfId="55" applyFont="1" applyFill="1" applyBorder="1" applyAlignment="1">
      <alignment horizontal="center" wrapText="1"/>
      <protection/>
    </xf>
    <xf numFmtId="0" fontId="7" fillId="46" borderId="28" xfId="55" applyFont="1" applyFill="1" applyBorder="1" applyAlignment="1">
      <alignment horizontal="center" wrapText="1"/>
      <protection/>
    </xf>
    <xf numFmtId="0" fontId="7" fillId="46" borderId="39" xfId="55" applyFont="1" applyFill="1" applyBorder="1" applyAlignment="1">
      <alignment horizontal="center"/>
      <protection/>
    </xf>
    <xf numFmtId="0" fontId="7" fillId="46" borderId="38" xfId="55" applyFont="1" applyFill="1" applyBorder="1" applyAlignment="1">
      <alignment horizontal="center"/>
      <protection/>
    </xf>
    <xf numFmtId="0" fontId="7" fillId="46" borderId="28" xfId="55" applyFont="1" applyFill="1" applyBorder="1" applyAlignment="1">
      <alignment horizont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1" fillId="0" borderId="21" xfId="55" applyFont="1" applyBorder="1" applyAlignment="1">
      <alignment horizontal="center" vertical="center" wrapText="1"/>
      <protection/>
    </xf>
    <xf numFmtId="0" fontId="0" fillId="0" borderId="21" xfId="55" applyBorder="1">
      <alignment/>
      <protection/>
    </xf>
    <xf numFmtId="0" fontId="7" fillId="0" borderId="21" xfId="55" applyFont="1" applyBorder="1">
      <alignment/>
      <protection/>
    </xf>
    <xf numFmtId="0" fontId="0" fillId="0" borderId="21" xfId="55" applyBorder="1" applyAlignment="1">
      <alignment horizontal="center"/>
      <protection/>
    </xf>
    <xf numFmtId="49" fontId="0" fillId="0" borderId="21" xfId="55" applyNumberFormat="1" applyFont="1" applyFill="1" applyBorder="1" applyAlignment="1">
      <alignment horizontal="center" shrinkToFit="1"/>
      <protection/>
    </xf>
    <xf numFmtId="0" fontId="0" fillId="0" borderId="0" xfId="55" applyAlignment="1">
      <alignment shrinkToFit="1"/>
      <protection/>
    </xf>
    <xf numFmtId="0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1" xfId="55" applyFont="1" applyBorder="1" applyAlignment="1">
      <alignment horizontal="center"/>
      <protection/>
    </xf>
    <xf numFmtId="0" fontId="15" fillId="0" borderId="21" xfId="55" applyFont="1" applyBorder="1" applyAlignment="1">
      <alignment/>
      <protection/>
    </xf>
    <xf numFmtId="0" fontId="12" fillId="19" borderId="23" xfId="0" applyFont="1" applyFill="1" applyBorder="1" applyAlignment="1" applyProtection="1">
      <alignment horizontal="center" vertical="center" shrinkToFit="1"/>
      <protection/>
    </xf>
    <xf numFmtId="0" fontId="12" fillId="19" borderId="21" xfId="0" applyFont="1" applyFill="1" applyBorder="1" applyAlignment="1" applyProtection="1">
      <alignment horizontal="center" vertical="center" shrinkToFit="1"/>
      <protection/>
    </xf>
    <xf numFmtId="0" fontId="12" fillId="19" borderId="25" xfId="0" applyFont="1" applyFill="1" applyBorder="1" applyAlignment="1" applyProtection="1">
      <alignment horizontal="center" vertical="center" shrinkToFit="1"/>
      <protection/>
    </xf>
    <xf numFmtId="0" fontId="1" fillId="0" borderId="26" xfId="55" applyFont="1" applyBorder="1" applyAlignment="1">
      <alignment horizontal="center"/>
      <protection/>
    </xf>
    <xf numFmtId="0" fontId="1" fillId="0" borderId="41" xfId="55" applyFont="1" applyBorder="1" applyAlignment="1">
      <alignment horizontal="center"/>
      <protection/>
    </xf>
    <xf numFmtId="0" fontId="1" fillId="0" borderId="27" xfId="55" applyFont="1" applyBorder="1" applyAlignment="1">
      <alignment horizontal="center"/>
      <protection/>
    </xf>
    <xf numFmtId="0" fontId="1" fillId="1" borderId="12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35" borderId="23" xfId="0" applyFont="1" applyFill="1" applyBorder="1" applyAlignment="1" applyProtection="1">
      <alignment horizontal="center" vertical="center" shrinkToFit="1"/>
      <protection/>
    </xf>
    <xf numFmtId="0" fontId="1" fillId="35" borderId="25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9" borderId="23" xfId="0" applyFont="1" applyFill="1" applyBorder="1" applyAlignment="1" applyProtection="1">
      <alignment horizontal="center" vertical="center"/>
      <protection/>
    </xf>
    <xf numFmtId="0" fontId="7" fillId="9" borderId="38" xfId="0" applyFont="1" applyFill="1" applyBorder="1" applyAlignment="1" applyProtection="1">
      <alignment horizontal="center" vertical="center"/>
      <protection/>
    </xf>
    <xf numFmtId="0" fontId="7" fillId="9" borderId="21" xfId="0" applyFont="1" applyFill="1" applyBorder="1" applyAlignment="1" applyProtection="1">
      <alignment horizontal="center" vertical="center"/>
      <protection/>
    </xf>
    <xf numFmtId="0" fontId="7" fillId="9" borderId="28" xfId="0" applyFont="1" applyFill="1" applyBorder="1" applyAlignment="1" applyProtection="1">
      <alignment horizontal="center" vertical="center"/>
      <protection/>
    </xf>
    <xf numFmtId="0" fontId="7" fillId="9" borderId="25" xfId="0" applyFont="1" applyFill="1" applyBorder="1" applyAlignment="1" applyProtection="1">
      <alignment horizontal="center" vertical="center"/>
      <protection/>
    </xf>
    <xf numFmtId="0" fontId="7" fillId="9" borderId="39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15" fillId="0" borderId="26" xfId="55" applyFont="1" applyBorder="1" applyAlignment="1" applyProtection="1">
      <alignment horizontal="center" vertical="center"/>
      <protection/>
    </xf>
    <xf numFmtId="0" fontId="15" fillId="0" borderId="27" xfId="55" applyFont="1" applyBorder="1" applyAlignment="1" applyProtection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5</xdr:row>
      <xdr:rowOff>66675</xdr:rowOff>
    </xdr:from>
    <xdr:to>
      <xdr:col>1</xdr:col>
      <xdr:colOff>0</xdr:colOff>
      <xdr:row>11</xdr:row>
      <xdr:rowOff>142875</xdr:rowOff>
    </xdr:to>
    <xdr:grpSp>
      <xdr:nvGrpSpPr>
        <xdr:cNvPr id="1" name="Group 16"/>
        <xdr:cNvGrpSpPr>
          <a:grpSpLocks/>
        </xdr:cNvGrpSpPr>
      </xdr:nvGrpSpPr>
      <xdr:grpSpPr>
        <a:xfrm>
          <a:off x="276225" y="1533525"/>
          <a:ext cx="333375" cy="1543050"/>
          <a:chOff x="102" y="151"/>
          <a:chExt cx="38" cy="162"/>
        </a:xfrm>
        <a:solidFill>
          <a:srgbClr val="FFFFFF"/>
        </a:solidFill>
      </xdr:grpSpPr>
      <xdr:sp>
        <xdr:nvSpPr>
          <xdr:cNvPr id="2" name="Freeform 3"/>
          <xdr:cNvSpPr>
            <a:spLocks/>
          </xdr:cNvSpPr>
        </xdr:nvSpPr>
        <xdr:spPr>
          <a:xfrm>
            <a:off x="124" y="151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4"/>
          <xdr:cNvSpPr>
            <a:spLocks/>
          </xdr:cNvSpPr>
        </xdr:nvSpPr>
        <xdr:spPr>
          <a:xfrm>
            <a:off x="102" y="163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5</xdr:row>
      <xdr:rowOff>66675</xdr:rowOff>
    </xdr:from>
    <xdr:to>
      <xdr:col>2</xdr:col>
      <xdr:colOff>952500</xdr:colOff>
      <xdr:row>13</xdr:row>
      <xdr:rowOff>180975</xdr:rowOff>
    </xdr:to>
    <xdr:grpSp>
      <xdr:nvGrpSpPr>
        <xdr:cNvPr id="4" name="Group 17"/>
        <xdr:cNvGrpSpPr>
          <a:grpSpLocks/>
        </xdr:cNvGrpSpPr>
      </xdr:nvGrpSpPr>
      <xdr:grpSpPr>
        <a:xfrm>
          <a:off x="1609725" y="1533525"/>
          <a:ext cx="952500" cy="2209800"/>
          <a:chOff x="250" y="151"/>
          <a:chExt cx="40" cy="231"/>
        </a:xfrm>
        <a:solidFill>
          <a:srgbClr val="FFFFFF"/>
        </a:solidFill>
      </xdr:grpSpPr>
      <xdr:sp>
        <xdr:nvSpPr>
          <xdr:cNvPr id="5" name="Freeform 5"/>
          <xdr:cNvSpPr>
            <a:spLocks/>
          </xdr:cNvSpPr>
        </xdr:nvSpPr>
        <xdr:spPr>
          <a:xfrm>
            <a:off x="250" y="151"/>
            <a:ext cx="37" cy="195"/>
          </a:xfrm>
          <a:custGeom>
            <a:pathLst>
              <a:path h="195" w="37">
                <a:moveTo>
                  <a:pt x="37" y="0"/>
                </a:moveTo>
                <a:lnTo>
                  <a:pt x="19" y="0"/>
                </a:lnTo>
                <a:lnTo>
                  <a:pt x="19" y="195"/>
                </a:lnTo>
                <a:lnTo>
                  <a:pt x="0" y="19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251" y="162"/>
            <a:ext cx="39" cy="220"/>
          </a:xfrm>
          <a:custGeom>
            <a:pathLst>
              <a:path h="220" w="39">
                <a:moveTo>
                  <a:pt x="39" y="0"/>
                </a:moveTo>
                <a:lnTo>
                  <a:pt x="26" y="0"/>
                </a:lnTo>
                <a:lnTo>
                  <a:pt x="26" y="219"/>
                </a:lnTo>
                <a:lnTo>
                  <a:pt x="0" y="22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752475</xdr:colOff>
      <xdr:row>5</xdr:row>
      <xdr:rowOff>104775</xdr:rowOff>
    </xdr:from>
    <xdr:to>
      <xdr:col>5</xdr:col>
      <xdr:colOff>0</xdr:colOff>
      <xdr:row>11</xdr:row>
      <xdr:rowOff>180975</xdr:rowOff>
    </xdr:to>
    <xdr:grpSp>
      <xdr:nvGrpSpPr>
        <xdr:cNvPr id="7" name="Group 18"/>
        <xdr:cNvGrpSpPr>
          <a:grpSpLocks/>
        </xdr:cNvGrpSpPr>
      </xdr:nvGrpSpPr>
      <xdr:grpSpPr>
        <a:xfrm>
          <a:off x="4333875" y="1571625"/>
          <a:ext cx="238125" cy="1543050"/>
          <a:chOff x="442" y="152"/>
          <a:chExt cx="38" cy="162"/>
        </a:xfrm>
        <a:solidFill>
          <a:srgbClr val="FFFFFF"/>
        </a:solidFill>
      </xdr:grpSpPr>
      <xdr:sp>
        <xdr:nvSpPr>
          <xdr:cNvPr id="8" name="Freeform 12"/>
          <xdr:cNvSpPr>
            <a:spLocks/>
          </xdr:cNvSpPr>
        </xdr:nvSpPr>
        <xdr:spPr>
          <a:xfrm>
            <a:off x="464" y="152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3"/>
          <xdr:cNvSpPr>
            <a:spLocks/>
          </xdr:cNvSpPr>
        </xdr:nvSpPr>
        <xdr:spPr>
          <a:xfrm>
            <a:off x="442" y="164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38100</xdr:colOff>
      <xdr:row>5</xdr:row>
      <xdr:rowOff>76200</xdr:rowOff>
    </xdr:from>
    <xdr:to>
      <xdr:col>7</xdr:col>
      <xdr:colOff>28575</xdr:colOff>
      <xdr:row>13</xdr:row>
      <xdr:rowOff>180975</xdr:rowOff>
    </xdr:to>
    <xdr:grpSp>
      <xdr:nvGrpSpPr>
        <xdr:cNvPr id="10" name="Group 19"/>
        <xdr:cNvGrpSpPr>
          <a:grpSpLocks/>
        </xdr:cNvGrpSpPr>
      </xdr:nvGrpSpPr>
      <xdr:grpSpPr>
        <a:xfrm>
          <a:off x="5648325" y="1543050"/>
          <a:ext cx="981075" cy="2200275"/>
          <a:chOff x="590" y="152"/>
          <a:chExt cx="40" cy="231"/>
        </a:xfrm>
        <a:solidFill>
          <a:srgbClr val="FFFFFF"/>
        </a:solidFill>
      </xdr:grpSpPr>
      <xdr:sp>
        <xdr:nvSpPr>
          <xdr:cNvPr id="11" name="Freeform 14"/>
          <xdr:cNvSpPr>
            <a:spLocks/>
          </xdr:cNvSpPr>
        </xdr:nvSpPr>
        <xdr:spPr>
          <a:xfrm>
            <a:off x="590" y="152"/>
            <a:ext cx="37" cy="195"/>
          </a:xfrm>
          <a:custGeom>
            <a:pathLst>
              <a:path h="195" w="37">
                <a:moveTo>
                  <a:pt x="37" y="0"/>
                </a:moveTo>
                <a:lnTo>
                  <a:pt x="19" y="0"/>
                </a:lnTo>
                <a:lnTo>
                  <a:pt x="19" y="195"/>
                </a:lnTo>
                <a:lnTo>
                  <a:pt x="0" y="19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5"/>
          <xdr:cNvSpPr>
            <a:spLocks/>
          </xdr:cNvSpPr>
        </xdr:nvSpPr>
        <xdr:spPr>
          <a:xfrm>
            <a:off x="591" y="163"/>
            <a:ext cx="39" cy="220"/>
          </a:xfrm>
          <a:custGeom>
            <a:pathLst>
              <a:path h="220" w="39">
                <a:moveTo>
                  <a:pt x="39" y="0"/>
                </a:moveTo>
                <a:lnTo>
                  <a:pt x="26" y="0"/>
                </a:lnTo>
                <a:lnTo>
                  <a:pt x="26" y="219"/>
                </a:lnTo>
                <a:lnTo>
                  <a:pt x="0" y="22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14</xdr:row>
      <xdr:rowOff>161925</xdr:rowOff>
    </xdr:from>
    <xdr:to>
      <xdr:col>7</xdr:col>
      <xdr:colOff>28575</xdr:colOff>
      <xdr:row>20</xdr:row>
      <xdr:rowOff>238125</xdr:rowOff>
    </xdr:to>
    <xdr:sp>
      <xdr:nvSpPr>
        <xdr:cNvPr id="13" name="Freeform 32"/>
        <xdr:cNvSpPr>
          <a:spLocks/>
        </xdr:cNvSpPr>
      </xdr:nvSpPr>
      <xdr:spPr>
        <a:xfrm>
          <a:off x="5638800" y="4029075"/>
          <a:ext cx="990600" cy="1905000"/>
        </a:xfrm>
        <a:custGeom>
          <a:pathLst>
            <a:path h="277" w="70">
              <a:moveTo>
                <a:pt x="0" y="0"/>
              </a:moveTo>
              <a:lnTo>
                <a:pt x="18" y="0"/>
              </a:lnTo>
              <a:lnTo>
                <a:pt x="19" y="277"/>
              </a:lnTo>
              <a:lnTo>
                <a:pt x="70" y="27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26</xdr:row>
      <xdr:rowOff>152400</xdr:rowOff>
    </xdr:from>
    <xdr:to>
      <xdr:col>0</xdr:col>
      <xdr:colOff>609600</xdr:colOff>
      <xdr:row>26</xdr:row>
      <xdr:rowOff>200025</xdr:rowOff>
    </xdr:to>
    <xdr:sp>
      <xdr:nvSpPr>
        <xdr:cNvPr id="14" name="Line 34"/>
        <xdr:cNvSpPr>
          <a:spLocks/>
        </xdr:cNvSpPr>
      </xdr:nvSpPr>
      <xdr:spPr>
        <a:xfrm>
          <a:off x="142875" y="7677150"/>
          <a:ext cx="4667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14</xdr:row>
      <xdr:rowOff>142875</xdr:rowOff>
    </xdr:from>
    <xdr:to>
      <xdr:col>1</xdr:col>
      <xdr:colOff>0</xdr:colOff>
      <xdr:row>20</xdr:row>
      <xdr:rowOff>152400</xdr:rowOff>
    </xdr:to>
    <xdr:grpSp>
      <xdr:nvGrpSpPr>
        <xdr:cNvPr id="15" name="Group 35"/>
        <xdr:cNvGrpSpPr>
          <a:grpSpLocks/>
        </xdr:cNvGrpSpPr>
      </xdr:nvGrpSpPr>
      <xdr:grpSpPr>
        <a:xfrm>
          <a:off x="314325" y="4010025"/>
          <a:ext cx="295275" cy="1838325"/>
          <a:chOff x="102" y="151"/>
          <a:chExt cx="38" cy="162"/>
        </a:xfrm>
        <a:solidFill>
          <a:srgbClr val="FFFFFF"/>
        </a:solidFill>
      </xdr:grpSpPr>
      <xdr:sp>
        <xdr:nvSpPr>
          <xdr:cNvPr id="16" name="Freeform 36"/>
          <xdr:cNvSpPr>
            <a:spLocks/>
          </xdr:cNvSpPr>
        </xdr:nvSpPr>
        <xdr:spPr>
          <a:xfrm>
            <a:off x="124" y="151"/>
            <a:ext cx="15" cy="131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37"/>
          <xdr:cNvSpPr>
            <a:spLocks/>
          </xdr:cNvSpPr>
        </xdr:nvSpPr>
        <xdr:spPr>
          <a:xfrm>
            <a:off x="102" y="163"/>
            <a:ext cx="38" cy="150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14</xdr:row>
      <xdr:rowOff>66675</xdr:rowOff>
    </xdr:from>
    <xdr:to>
      <xdr:col>1</xdr:col>
      <xdr:colOff>0</xdr:colOff>
      <xdr:row>14</xdr:row>
      <xdr:rowOff>66675</xdr:rowOff>
    </xdr:to>
    <xdr:sp>
      <xdr:nvSpPr>
        <xdr:cNvPr id="18" name="Line 48"/>
        <xdr:cNvSpPr>
          <a:spLocks/>
        </xdr:cNvSpPr>
      </xdr:nvSpPr>
      <xdr:spPr>
        <a:xfrm flipH="1">
          <a:off x="142875" y="39338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14</xdr:row>
      <xdr:rowOff>66675</xdr:rowOff>
    </xdr:from>
    <xdr:to>
      <xdr:col>0</xdr:col>
      <xdr:colOff>133350</xdr:colOff>
      <xdr:row>26</xdr:row>
      <xdr:rowOff>152400</xdr:rowOff>
    </xdr:to>
    <xdr:sp>
      <xdr:nvSpPr>
        <xdr:cNvPr id="19" name="Line 49"/>
        <xdr:cNvSpPr>
          <a:spLocks/>
        </xdr:cNvSpPr>
      </xdr:nvSpPr>
      <xdr:spPr>
        <a:xfrm>
          <a:off x="133350" y="3933825"/>
          <a:ext cx="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295275</xdr:rowOff>
    </xdr:from>
    <xdr:to>
      <xdr:col>1</xdr:col>
      <xdr:colOff>485775</xdr:colOff>
      <xdr:row>34</xdr:row>
      <xdr:rowOff>152400</xdr:rowOff>
    </xdr:to>
    <xdr:sp>
      <xdr:nvSpPr>
        <xdr:cNvPr id="20" name="Text Box 66"/>
        <xdr:cNvSpPr txBox="1">
          <a:spLocks noChangeArrowheads="1"/>
        </xdr:cNvSpPr>
      </xdr:nvSpPr>
      <xdr:spPr>
        <a:xfrm>
          <a:off x="609600" y="9648825"/>
          <a:ext cx="485775" cy="466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</a:t>
          </a:r>
        </a:p>
      </xdr:txBody>
    </xdr:sp>
    <xdr:clientData/>
  </xdr:twoCellAnchor>
  <xdr:twoCellAnchor>
    <xdr:from>
      <xdr:col>1</xdr:col>
      <xdr:colOff>485775</xdr:colOff>
      <xdr:row>32</xdr:row>
      <xdr:rowOff>295275</xdr:rowOff>
    </xdr:from>
    <xdr:to>
      <xdr:col>1</xdr:col>
      <xdr:colOff>962025</xdr:colOff>
      <xdr:row>34</xdr:row>
      <xdr:rowOff>152400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1095375" y="9648825"/>
          <a:ext cx="476250" cy="466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1</xdr:col>
      <xdr:colOff>161925</xdr:colOff>
      <xdr:row>32</xdr:row>
      <xdr:rowOff>9525</xdr:rowOff>
    </xdr:from>
    <xdr:to>
      <xdr:col>1</xdr:col>
      <xdr:colOff>457200</xdr:colOff>
      <xdr:row>32</xdr:row>
      <xdr:rowOff>276225</xdr:rowOff>
    </xdr:to>
    <xdr:sp>
      <xdr:nvSpPr>
        <xdr:cNvPr id="22" name="Line 69"/>
        <xdr:cNvSpPr>
          <a:spLocks/>
        </xdr:cNvSpPr>
      </xdr:nvSpPr>
      <xdr:spPr>
        <a:xfrm flipH="1">
          <a:off x="771525" y="9363075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32</xdr:row>
      <xdr:rowOff>28575</xdr:rowOff>
    </xdr:from>
    <xdr:to>
      <xdr:col>1</xdr:col>
      <xdr:colOff>733425</xdr:colOff>
      <xdr:row>32</xdr:row>
      <xdr:rowOff>285750</xdr:rowOff>
    </xdr:to>
    <xdr:sp>
      <xdr:nvSpPr>
        <xdr:cNvPr id="23" name="Line 70"/>
        <xdr:cNvSpPr>
          <a:spLocks/>
        </xdr:cNvSpPr>
      </xdr:nvSpPr>
      <xdr:spPr>
        <a:xfrm>
          <a:off x="1228725" y="9382125"/>
          <a:ext cx="104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504825</xdr:colOff>
      <xdr:row>34</xdr:row>
      <xdr:rowOff>180975</xdr:rowOff>
    </xdr:to>
    <xdr:sp>
      <xdr:nvSpPr>
        <xdr:cNvPr id="24" name="Text Box 72"/>
        <xdr:cNvSpPr txBox="1">
          <a:spLocks noChangeArrowheads="1"/>
        </xdr:cNvSpPr>
      </xdr:nvSpPr>
      <xdr:spPr>
        <a:xfrm>
          <a:off x="1609725" y="9658350"/>
          <a:ext cx="495300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2</xdr:col>
      <xdr:colOff>504825</xdr:colOff>
      <xdr:row>33</xdr:row>
      <xdr:rowOff>0</xdr:rowOff>
    </xdr:from>
    <xdr:to>
      <xdr:col>2</xdr:col>
      <xdr:colOff>990600</xdr:colOff>
      <xdr:row>34</xdr:row>
      <xdr:rowOff>180975</xdr:rowOff>
    </xdr:to>
    <xdr:sp>
      <xdr:nvSpPr>
        <xdr:cNvPr id="25" name="Text Box 73"/>
        <xdr:cNvSpPr txBox="1">
          <a:spLocks noChangeArrowheads="1"/>
        </xdr:cNvSpPr>
      </xdr:nvSpPr>
      <xdr:spPr>
        <a:xfrm>
          <a:off x="2105025" y="9658350"/>
          <a:ext cx="485775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2</xdr:col>
      <xdr:colOff>171450</xdr:colOff>
      <xdr:row>32</xdr:row>
      <xdr:rowOff>28575</xdr:rowOff>
    </xdr:from>
    <xdr:to>
      <xdr:col>2</xdr:col>
      <xdr:colOff>466725</xdr:colOff>
      <xdr:row>32</xdr:row>
      <xdr:rowOff>295275</xdr:rowOff>
    </xdr:to>
    <xdr:sp>
      <xdr:nvSpPr>
        <xdr:cNvPr id="26" name="Line 74"/>
        <xdr:cNvSpPr>
          <a:spLocks/>
        </xdr:cNvSpPr>
      </xdr:nvSpPr>
      <xdr:spPr>
        <a:xfrm flipH="1">
          <a:off x="1771650" y="9382125"/>
          <a:ext cx="2857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32</xdr:row>
      <xdr:rowOff>28575</xdr:rowOff>
    </xdr:from>
    <xdr:to>
      <xdr:col>2</xdr:col>
      <xdr:colOff>742950</xdr:colOff>
      <xdr:row>32</xdr:row>
      <xdr:rowOff>295275</xdr:rowOff>
    </xdr:to>
    <xdr:sp>
      <xdr:nvSpPr>
        <xdr:cNvPr id="27" name="Line 75"/>
        <xdr:cNvSpPr>
          <a:spLocks/>
        </xdr:cNvSpPr>
      </xdr:nvSpPr>
      <xdr:spPr>
        <a:xfrm>
          <a:off x="2238375" y="9382125"/>
          <a:ext cx="104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33</xdr:row>
      <xdr:rowOff>0</xdr:rowOff>
    </xdr:from>
    <xdr:to>
      <xdr:col>3</xdr:col>
      <xdr:colOff>504825</xdr:colOff>
      <xdr:row>34</xdr:row>
      <xdr:rowOff>180975</xdr:rowOff>
    </xdr:to>
    <xdr:sp>
      <xdr:nvSpPr>
        <xdr:cNvPr id="28" name="Text Box 77"/>
        <xdr:cNvSpPr txBox="1">
          <a:spLocks noChangeArrowheads="1"/>
        </xdr:cNvSpPr>
      </xdr:nvSpPr>
      <xdr:spPr>
        <a:xfrm>
          <a:off x="2600325" y="9658350"/>
          <a:ext cx="495300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3</xdr:col>
      <xdr:colOff>504825</xdr:colOff>
      <xdr:row>33</xdr:row>
      <xdr:rowOff>0</xdr:rowOff>
    </xdr:from>
    <xdr:to>
      <xdr:col>4</xdr:col>
      <xdr:colOff>0</xdr:colOff>
      <xdr:row>34</xdr:row>
      <xdr:rowOff>180975</xdr:rowOff>
    </xdr:to>
    <xdr:sp>
      <xdr:nvSpPr>
        <xdr:cNvPr id="29" name="Text Box 78"/>
        <xdr:cNvSpPr txBox="1">
          <a:spLocks noChangeArrowheads="1"/>
        </xdr:cNvSpPr>
      </xdr:nvSpPr>
      <xdr:spPr>
        <a:xfrm>
          <a:off x="3095625" y="9658350"/>
          <a:ext cx="485775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9525</xdr:colOff>
      <xdr:row>33</xdr:row>
      <xdr:rowOff>0</xdr:rowOff>
    </xdr:from>
    <xdr:to>
      <xdr:col>4</xdr:col>
      <xdr:colOff>504825</xdr:colOff>
      <xdr:row>34</xdr:row>
      <xdr:rowOff>180975</xdr:rowOff>
    </xdr:to>
    <xdr:sp>
      <xdr:nvSpPr>
        <xdr:cNvPr id="30" name="Text Box 82"/>
        <xdr:cNvSpPr txBox="1">
          <a:spLocks noChangeArrowheads="1"/>
        </xdr:cNvSpPr>
      </xdr:nvSpPr>
      <xdr:spPr>
        <a:xfrm>
          <a:off x="3590925" y="9658350"/>
          <a:ext cx="495300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504825</xdr:colOff>
      <xdr:row>33</xdr:row>
      <xdr:rowOff>0</xdr:rowOff>
    </xdr:from>
    <xdr:to>
      <xdr:col>4</xdr:col>
      <xdr:colOff>990600</xdr:colOff>
      <xdr:row>34</xdr:row>
      <xdr:rowOff>180975</xdr:rowOff>
    </xdr:to>
    <xdr:sp>
      <xdr:nvSpPr>
        <xdr:cNvPr id="31" name="Text Box 83"/>
        <xdr:cNvSpPr txBox="1">
          <a:spLocks noChangeArrowheads="1"/>
        </xdr:cNvSpPr>
      </xdr:nvSpPr>
      <xdr:spPr>
        <a:xfrm>
          <a:off x="4086225" y="9658350"/>
          <a:ext cx="485775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171450</xdr:colOff>
      <xdr:row>22</xdr:row>
      <xdr:rowOff>295275</xdr:rowOff>
    </xdr:from>
    <xdr:to>
      <xdr:col>6</xdr:col>
      <xdr:colOff>981075</xdr:colOff>
      <xdr:row>32</xdr:row>
      <xdr:rowOff>295275</xdr:rowOff>
    </xdr:to>
    <xdr:sp>
      <xdr:nvSpPr>
        <xdr:cNvPr id="32" name="Line 84"/>
        <xdr:cNvSpPr>
          <a:spLocks/>
        </xdr:cNvSpPr>
      </xdr:nvSpPr>
      <xdr:spPr>
        <a:xfrm flipH="1">
          <a:off x="3752850" y="6600825"/>
          <a:ext cx="283845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23</xdr:row>
      <xdr:rowOff>9525</xdr:rowOff>
    </xdr:from>
    <xdr:to>
      <xdr:col>7</xdr:col>
      <xdr:colOff>57150</xdr:colOff>
      <xdr:row>32</xdr:row>
      <xdr:rowOff>295275</xdr:rowOff>
    </xdr:to>
    <xdr:sp>
      <xdr:nvSpPr>
        <xdr:cNvPr id="33" name="Line 85"/>
        <xdr:cNvSpPr>
          <a:spLocks/>
        </xdr:cNvSpPr>
      </xdr:nvSpPr>
      <xdr:spPr>
        <a:xfrm flipH="1">
          <a:off x="4333875" y="6619875"/>
          <a:ext cx="2324100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495300</xdr:colOff>
      <xdr:row>34</xdr:row>
      <xdr:rowOff>180975</xdr:rowOff>
    </xdr:to>
    <xdr:sp>
      <xdr:nvSpPr>
        <xdr:cNvPr id="34" name="Text Box 92"/>
        <xdr:cNvSpPr txBox="1">
          <a:spLocks noChangeArrowheads="1"/>
        </xdr:cNvSpPr>
      </xdr:nvSpPr>
      <xdr:spPr>
        <a:xfrm>
          <a:off x="4572000" y="9658350"/>
          <a:ext cx="495300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495300</xdr:colOff>
      <xdr:row>33</xdr:row>
      <xdr:rowOff>0</xdr:rowOff>
    </xdr:from>
    <xdr:to>
      <xdr:col>5</xdr:col>
      <xdr:colOff>971550</xdr:colOff>
      <xdr:row>34</xdr:row>
      <xdr:rowOff>180975</xdr:rowOff>
    </xdr:to>
    <xdr:sp>
      <xdr:nvSpPr>
        <xdr:cNvPr id="35" name="Text Box 93"/>
        <xdr:cNvSpPr txBox="1">
          <a:spLocks noChangeArrowheads="1"/>
        </xdr:cNvSpPr>
      </xdr:nvSpPr>
      <xdr:spPr>
        <a:xfrm>
          <a:off x="5067300" y="9658350"/>
          <a:ext cx="476250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171450</xdr:colOff>
      <xdr:row>23</xdr:row>
      <xdr:rowOff>123825</xdr:rowOff>
    </xdr:from>
    <xdr:to>
      <xdr:col>7</xdr:col>
      <xdr:colOff>171450</xdr:colOff>
      <xdr:row>32</xdr:row>
      <xdr:rowOff>295275</xdr:rowOff>
    </xdr:to>
    <xdr:sp>
      <xdr:nvSpPr>
        <xdr:cNvPr id="36" name="Line 94"/>
        <xdr:cNvSpPr>
          <a:spLocks/>
        </xdr:cNvSpPr>
      </xdr:nvSpPr>
      <xdr:spPr>
        <a:xfrm flipH="1">
          <a:off x="4743450" y="6734175"/>
          <a:ext cx="2028825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24</xdr:row>
      <xdr:rowOff>66675</xdr:rowOff>
    </xdr:from>
    <xdr:to>
      <xdr:col>5</xdr:col>
      <xdr:colOff>733425</xdr:colOff>
      <xdr:row>32</xdr:row>
      <xdr:rowOff>295275</xdr:rowOff>
    </xdr:to>
    <xdr:sp>
      <xdr:nvSpPr>
        <xdr:cNvPr id="37" name="Line 95"/>
        <xdr:cNvSpPr>
          <a:spLocks/>
        </xdr:cNvSpPr>
      </xdr:nvSpPr>
      <xdr:spPr>
        <a:xfrm>
          <a:off x="4848225" y="6981825"/>
          <a:ext cx="45720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981075</xdr:colOff>
      <xdr:row>33</xdr:row>
      <xdr:rowOff>0</xdr:rowOff>
    </xdr:from>
    <xdr:to>
      <xdr:col>6</xdr:col>
      <xdr:colOff>428625</xdr:colOff>
      <xdr:row>34</xdr:row>
      <xdr:rowOff>180975</xdr:rowOff>
    </xdr:to>
    <xdr:sp>
      <xdr:nvSpPr>
        <xdr:cNvPr id="38" name="Text Box 97"/>
        <xdr:cNvSpPr txBox="1">
          <a:spLocks noChangeArrowheads="1"/>
        </xdr:cNvSpPr>
      </xdr:nvSpPr>
      <xdr:spPr>
        <a:xfrm>
          <a:off x="5553075" y="9658350"/>
          <a:ext cx="485775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6</xdr:col>
      <xdr:colOff>428625</xdr:colOff>
      <xdr:row>33</xdr:row>
      <xdr:rowOff>0</xdr:rowOff>
    </xdr:from>
    <xdr:to>
      <xdr:col>6</xdr:col>
      <xdr:colOff>923925</xdr:colOff>
      <xdr:row>34</xdr:row>
      <xdr:rowOff>180975</xdr:rowOff>
    </xdr:to>
    <xdr:sp>
      <xdr:nvSpPr>
        <xdr:cNvPr id="39" name="Text Box 98"/>
        <xdr:cNvSpPr txBox="1">
          <a:spLocks noChangeArrowheads="1"/>
        </xdr:cNvSpPr>
      </xdr:nvSpPr>
      <xdr:spPr>
        <a:xfrm>
          <a:off x="6038850" y="9658350"/>
          <a:ext cx="495300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5</xdr:col>
      <xdr:colOff>561975</xdr:colOff>
      <xdr:row>24</xdr:row>
      <xdr:rowOff>114300</xdr:rowOff>
    </xdr:from>
    <xdr:to>
      <xdr:col>6</xdr:col>
      <xdr:colOff>104775</xdr:colOff>
      <xdr:row>32</xdr:row>
      <xdr:rowOff>295275</xdr:rowOff>
    </xdr:to>
    <xdr:sp>
      <xdr:nvSpPr>
        <xdr:cNvPr id="40" name="Line 99"/>
        <xdr:cNvSpPr>
          <a:spLocks/>
        </xdr:cNvSpPr>
      </xdr:nvSpPr>
      <xdr:spPr>
        <a:xfrm>
          <a:off x="5133975" y="7029450"/>
          <a:ext cx="581025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24</xdr:row>
      <xdr:rowOff>114300</xdr:rowOff>
    </xdr:from>
    <xdr:to>
      <xdr:col>6</xdr:col>
      <xdr:colOff>685800</xdr:colOff>
      <xdr:row>32</xdr:row>
      <xdr:rowOff>295275</xdr:rowOff>
    </xdr:to>
    <xdr:sp>
      <xdr:nvSpPr>
        <xdr:cNvPr id="41" name="Line 100"/>
        <xdr:cNvSpPr>
          <a:spLocks/>
        </xdr:cNvSpPr>
      </xdr:nvSpPr>
      <xdr:spPr>
        <a:xfrm>
          <a:off x="5334000" y="7029450"/>
          <a:ext cx="962025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33</xdr:row>
      <xdr:rowOff>0</xdr:rowOff>
    </xdr:from>
    <xdr:to>
      <xdr:col>7</xdr:col>
      <xdr:colOff>400050</xdr:colOff>
      <xdr:row>34</xdr:row>
      <xdr:rowOff>180975</xdr:rowOff>
    </xdr:to>
    <xdr:sp>
      <xdr:nvSpPr>
        <xdr:cNvPr id="42" name="Text Box 97"/>
        <xdr:cNvSpPr txBox="1">
          <a:spLocks noChangeArrowheads="1"/>
        </xdr:cNvSpPr>
      </xdr:nvSpPr>
      <xdr:spPr>
        <a:xfrm>
          <a:off x="6524625" y="9658350"/>
          <a:ext cx="476250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7</xdr:col>
      <xdr:colOff>400050</xdr:colOff>
      <xdr:row>33</xdr:row>
      <xdr:rowOff>0</xdr:rowOff>
    </xdr:from>
    <xdr:to>
      <xdr:col>7</xdr:col>
      <xdr:colOff>895350</xdr:colOff>
      <xdr:row>34</xdr:row>
      <xdr:rowOff>180975</xdr:rowOff>
    </xdr:to>
    <xdr:sp>
      <xdr:nvSpPr>
        <xdr:cNvPr id="43" name="Text Box 98"/>
        <xdr:cNvSpPr txBox="1">
          <a:spLocks noChangeArrowheads="1"/>
        </xdr:cNvSpPr>
      </xdr:nvSpPr>
      <xdr:spPr>
        <a:xfrm>
          <a:off x="7000875" y="9658350"/>
          <a:ext cx="495300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38100</xdr:colOff>
      <xdr:row>23</xdr:row>
      <xdr:rowOff>257175</xdr:rowOff>
    </xdr:from>
    <xdr:to>
      <xdr:col>7</xdr:col>
      <xdr:colOff>95250</xdr:colOff>
      <xdr:row>32</xdr:row>
      <xdr:rowOff>295275</xdr:rowOff>
    </xdr:to>
    <xdr:sp>
      <xdr:nvSpPr>
        <xdr:cNvPr id="44" name="Line 99"/>
        <xdr:cNvSpPr>
          <a:spLocks/>
        </xdr:cNvSpPr>
      </xdr:nvSpPr>
      <xdr:spPr>
        <a:xfrm>
          <a:off x="3619500" y="6867525"/>
          <a:ext cx="3076575" cy="278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23</xdr:row>
      <xdr:rowOff>200025</xdr:rowOff>
    </xdr:from>
    <xdr:to>
      <xdr:col>7</xdr:col>
      <xdr:colOff>666750</xdr:colOff>
      <xdr:row>32</xdr:row>
      <xdr:rowOff>295275</xdr:rowOff>
    </xdr:to>
    <xdr:sp>
      <xdr:nvSpPr>
        <xdr:cNvPr id="45" name="Line 100"/>
        <xdr:cNvSpPr>
          <a:spLocks/>
        </xdr:cNvSpPr>
      </xdr:nvSpPr>
      <xdr:spPr>
        <a:xfrm>
          <a:off x="3676650" y="6810375"/>
          <a:ext cx="3590925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895350</xdr:colOff>
      <xdr:row>32</xdr:row>
      <xdr:rowOff>295275</xdr:rowOff>
    </xdr:from>
    <xdr:to>
      <xdr:col>8</xdr:col>
      <xdr:colOff>419100</xdr:colOff>
      <xdr:row>34</xdr:row>
      <xdr:rowOff>152400</xdr:rowOff>
    </xdr:to>
    <xdr:sp>
      <xdr:nvSpPr>
        <xdr:cNvPr id="46" name="Text Box 97"/>
        <xdr:cNvSpPr txBox="1">
          <a:spLocks noChangeArrowheads="1"/>
        </xdr:cNvSpPr>
      </xdr:nvSpPr>
      <xdr:spPr>
        <a:xfrm>
          <a:off x="7496175" y="9648825"/>
          <a:ext cx="561975" cy="466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8</xdr:col>
      <xdr:colOff>419100</xdr:colOff>
      <xdr:row>32</xdr:row>
      <xdr:rowOff>295275</xdr:rowOff>
    </xdr:from>
    <xdr:to>
      <xdr:col>9</xdr:col>
      <xdr:colOff>123825</xdr:colOff>
      <xdr:row>34</xdr:row>
      <xdr:rowOff>152400</xdr:rowOff>
    </xdr:to>
    <xdr:sp>
      <xdr:nvSpPr>
        <xdr:cNvPr id="47" name="Text Box 98"/>
        <xdr:cNvSpPr txBox="1">
          <a:spLocks noChangeArrowheads="1"/>
        </xdr:cNvSpPr>
      </xdr:nvSpPr>
      <xdr:spPr>
        <a:xfrm>
          <a:off x="8058150" y="9648825"/>
          <a:ext cx="466725" cy="466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</a:t>
          </a:r>
          <a:r>
            <a:rPr lang="en-US" cap="none" sz="11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ème</a:t>
          </a:r>
        </a:p>
      </xdr:txBody>
    </xdr:sp>
    <xdr:clientData/>
  </xdr:twoCellAnchor>
  <xdr:twoCellAnchor>
    <xdr:from>
      <xdr:col>4</xdr:col>
      <xdr:colOff>95250</xdr:colOff>
      <xdr:row>23</xdr:row>
      <xdr:rowOff>142875</xdr:rowOff>
    </xdr:from>
    <xdr:to>
      <xdr:col>8</xdr:col>
      <xdr:colOff>95250</xdr:colOff>
      <xdr:row>32</xdr:row>
      <xdr:rowOff>295275</xdr:rowOff>
    </xdr:to>
    <xdr:sp>
      <xdr:nvSpPr>
        <xdr:cNvPr id="48" name="Line 99"/>
        <xdr:cNvSpPr>
          <a:spLocks/>
        </xdr:cNvSpPr>
      </xdr:nvSpPr>
      <xdr:spPr>
        <a:xfrm>
          <a:off x="3676650" y="6753225"/>
          <a:ext cx="4057650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23</xdr:row>
      <xdr:rowOff>161925</xdr:rowOff>
    </xdr:from>
    <xdr:to>
      <xdr:col>8</xdr:col>
      <xdr:colOff>657225</xdr:colOff>
      <xdr:row>32</xdr:row>
      <xdr:rowOff>276225</xdr:rowOff>
    </xdr:to>
    <xdr:sp>
      <xdr:nvSpPr>
        <xdr:cNvPr id="49" name="Line 100"/>
        <xdr:cNvSpPr>
          <a:spLocks/>
        </xdr:cNvSpPr>
      </xdr:nvSpPr>
      <xdr:spPr>
        <a:xfrm>
          <a:off x="3705225" y="6772275"/>
          <a:ext cx="4591050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180975</xdr:rowOff>
    </xdr:from>
    <xdr:to>
      <xdr:col>8</xdr:col>
      <xdr:colOff>333375</xdr:colOff>
      <xdr:row>13</xdr:row>
      <xdr:rowOff>190500</xdr:rowOff>
    </xdr:to>
    <xdr:grpSp>
      <xdr:nvGrpSpPr>
        <xdr:cNvPr id="50" name="Groupe 97"/>
        <xdr:cNvGrpSpPr>
          <a:grpSpLocks/>
        </xdr:cNvGrpSpPr>
      </xdr:nvGrpSpPr>
      <xdr:grpSpPr>
        <a:xfrm>
          <a:off x="7696200" y="1647825"/>
          <a:ext cx="276225" cy="2105025"/>
          <a:chOff x="7867648" y="1657350"/>
          <a:chExt cx="276226" cy="2105025"/>
        </a:xfrm>
        <a:solidFill>
          <a:srgbClr val="FFFFFF"/>
        </a:solidFill>
      </xdr:grpSpPr>
      <xdr:sp>
        <xdr:nvSpPr>
          <xdr:cNvPr id="51" name="Freeform 12"/>
          <xdr:cNvSpPr>
            <a:spLocks/>
          </xdr:cNvSpPr>
        </xdr:nvSpPr>
        <xdr:spPr>
          <a:xfrm flipH="1">
            <a:off x="7883462" y="1657350"/>
            <a:ext cx="260412" cy="1709807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13"/>
          <xdr:cNvSpPr>
            <a:spLocks/>
          </xdr:cNvSpPr>
        </xdr:nvSpPr>
        <xdr:spPr>
          <a:xfrm flipH="1">
            <a:off x="7867648" y="1747340"/>
            <a:ext cx="209586" cy="2015035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76200</xdr:colOff>
      <xdr:row>5</xdr:row>
      <xdr:rowOff>104775</xdr:rowOff>
    </xdr:from>
    <xdr:to>
      <xdr:col>7</xdr:col>
      <xdr:colOff>66675</xdr:colOff>
      <xdr:row>11</xdr:row>
      <xdr:rowOff>85725</xdr:rowOff>
    </xdr:to>
    <xdr:grpSp>
      <xdr:nvGrpSpPr>
        <xdr:cNvPr id="53" name="Group 19"/>
        <xdr:cNvGrpSpPr>
          <a:grpSpLocks/>
        </xdr:cNvGrpSpPr>
      </xdr:nvGrpSpPr>
      <xdr:grpSpPr>
        <a:xfrm flipH="1">
          <a:off x="5686425" y="1571625"/>
          <a:ext cx="981075" cy="1447800"/>
          <a:chOff x="590" y="152"/>
          <a:chExt cx="40" cy="231"/>
        </a:xfrm>
        <a:solidFill>
          <a:srgbClr val="FFFFFF"/>
        </a:solidFill>
      </xdr:grpSpPr>
      <xdr:sp>
        <xdr:nvSpPr>
          <xdr:cNvPr id="54" name="Freeform 14"/>
          <xdr:cNvSpPr>
            <a:spLocks/>
          </xdr:cNvSpPr>
        </xdr:nvSpPr>
        <xdr:spPr>
          <a:xfrm>
            <a:off x="590" y="152"/>
            <a:ext cx="37" cy="195"/>
          </a:xfrm>
          <a:custGeom>
            <a:pathLst>
              <a:path h="195" w="37">
                <a:moveTo>
                  <a:pt x="37" y="0"/>
                </a:moveTo>
                <a:lnTo>
                  <a:pt x="19" y="0"/>
                </a:lnTo>
                <a:lnTo>
                  <a:pt x="19" y="195"/>
                </a:lnTo>
                <a:lnTo>
                  <a:pt x="0" y="195"/>
                </a:lnTo>
              </a:path>
            </a:pathLst>
          </a:custGeom>
          <a:noFill/>
          <a:ln w="38100" cmpd="sng">
            <a:solidFill>
              <a:srgbClr val="4F81BD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15"/>
          <xdr:cNvSpPr>
            <a:spLocks/>
          </xdr:cNvSpPr>
        </xdr:nvSpPr>
        <xdr:spPr>
          <a:xfrm>
            <a:off x="591" y="163"/>
            <a:ext cx="39" cy="220"/>
          </a:xfrm>
          <a:custGeom>
            <a:pathLst>
              <a:path h="220" w="39">
                <a:moveTo>
                  <a:pt x="39" y="0"/>
                </a:moveTo>
                <a:lnTo>
                  <a:pt x="26" y="0"/>
                </a:lnTo>
                <a:lnTo>
                  <a:pt x="26" y="219"/>
                </a:lnTo>
                <a:lnTo>
                  <a:pt x="0" y="220"/>
                </a:lnTo>
              </a:path>
            </a:pathLst>
          </a:custGeom>
          <a:noFill/>
          <a:ln w="38100" cmpd="sng">
            <a:solidFill>
              <a:srgbClr val="4F81BD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962025</xdr:colOff>
      <xdr:row>5</xdr:row>
      <xdr:rowOff>142875</xdr:rowOff>
    </xdr:from>
    <xdr:to>
      <xdr:col>2</xdr:col>
      <xdr:colOff>962025</xdr:colOff>
      <xdr:row>11</xdr:row>
      <xdr:rowOff>123825</xdr:rowOff>
    </xdr:to>
    <xdr:grpSp>
      <xdr:nvGrpSpPr>
        <xdr:cNvPr id="56" name="Group 19"/>
        <xdr:cNvGrpSpPr>
          <a:grpSpLocks/>
        </xdr:cNvGrpSpPr>
      </xdr:nvGrpSpPr>
      <xdr:grpSpPr>
        <a:xfrm flipH="1">
          <a:off x="1571625" y="1609725"/>
          <a:ext cx="990600" cy="1447800"/>
          <a:chOff x="590" y="152"/>
          <a:chExt cx="40" cy="231"/>
        </a:xfrm>
        <a:solidFill>
          <a:srgbClr val="FFFFFF"/>
        </a:solidFill>
      </xdr:grpSpPr>
      <xdr:sp>
        <xdr:nvSpPr>
          <xdr:cNvPr id="57" name="Freeform 14"/>
          <xdr:cNvSpPr>
            <a:spLocks/>
          </xdr:cNvSpPr>
        </xdr:nvSpPr>
        <xdr:spPr>
          <a:xfrm>
            <a:off x="590" y="152"/>
            <a:ext cx="37" cy="195"/>
          </a:xfrm>
          <a:custGeom>
            <a:pathLst>
              <a:path h="195" w="37">
                <a:moveTo>
                  <a:pt x="37" y="0"/>
                </a:moveTo>
                <a:lnTo>
                  <a:pt x="19" y="0"/>
                </a:lnTo>
                <a:lnTo>
                  <a:pt x="19" y="195"/>
                </a:lnTo>
                <a:lnTo>
                  <a:pt x="0" y="195"/>
                </a:lnTo>
              </a:path>
            </a:pathLst>
          </a:custGeom>
          <a:noFill/>
          <a:ln w="38100" cmpd="sng">
            <a:solidFill>
              <a:srgbClr val="4F81BD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Freeform 15"/>
          <xdr:cNvSpPr>
            <a:spLocks/>
          </xdr:cNvSpPr>
        </xdr:nvSpPr>
        <xdr:spPr>
          <a:xfrm>
            <a:off x="591" y="163"/>
            <a:ext cx="39" cy="220"/>
          </a:xfrm>
          <a:custGeom>
            <a:pathLst>
              <a:path h="220" w="39">
                <a:moveTo>
                  <a:pt x="39" y="0"/>
                </a:moveTo>
                <a:lnTo>
                  <a:pt x="26" y="0"/>
                </a:lnTo>
                <a:lnTo>
                  <a:pt x="26" y="219"/>
                </a:lnTo>
                <a:lnTo>
                  <a:pt x="0" y="220"/>
                </a:lnTo>
              </a:path>
            </a:pathLst>
          </a:custGeom>
          <a:noFill/>
          <a:ln w="38100" cmpd="sng">
            <a:solidFill>
              <a:srgbClr val="4F81BD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23</xdr:row>
      <xdr:rowOff>66675</xdr:rowOff>
    </xdr:from>
    <xdr:to>
      <xdr:col>2</xdr:col>
      <xdr:colOff>933450</xdr:colOff>
      <xdr:row>27</xdr:row>
      <xdr:rowOff>114300</xdr:rowOff>
    </xdr:to>
    <xdr:sp>
      <xdr:nvSpPr>
        <xdr:cNvPr id="59" name="Freeform 14"/>
        <xdr:cNvSpPr>
          <a:spLocks/>
        </xdr:cNvSpPr>
      </xdr:nvSpPr>
      <xdr:spPr>
        <a:xfrm flipH="1">
          <a:off x="1628775" y="6677025"/>
          <a:ext cx="904875" cy="1266825"/>
        </a:xfrm>
        <a:custGeom>
          <a:pathLst>
            <a:path h="195" w="37">
              <a:moveTo>
                <a:pt x="37" y="0"/>
              </a:moveTo>
              <a:lnTo>
                <a:pt x="19" y="0"/>
              </a:lnTo>
              <a:lnTo>
                <a:pt x="19" y="195"/>
              </a:lnTo>
              <a:lnTo>
                <a:pt x="0" y="19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14</xdr:row>
      <xdr:rowOff>66675</xdr:rowOff>
    </xdr:from>
    <xdr:to>
      <xdr:col>5</xdr:col>
      <xdr:colOff>28575</xdr:colOff>
      <xdr:row>26</xdr:row>
      <xdr:rowOff>142875</xdr:rowOff>
    </xdr:to>
    <xdr:sp>
      <xdr:nvSpPr>
        <xdr:cNvPr id="60" name="Freeform 15"/>
        <xdr:cNvSpPr>
          <a:spLocks/>
        </xdr:cNvSpPr>
      </xdr:nvSpPr>
      <xdr:spPr>
        <a:xfrm>
          <a:off x="3638550" y="3933825"/>
          <a:ext cx="962025" cy="3733800"/>
        </a:xfrm>
        <a:custGeom>
          <a:pathLst>
            <a:path h="220" w="39">
              <a:moveTo>
                <a:pt x="39" y="0"/>
              </a:moveTo>
              <a:lnTo>
                <a:pt x="26" y="0"/>
              </a:lnTo>
              <a:lnTo>
                <a:pt x="26" y="219"/>
              </a:lnTo>
              <a:lnTo>
                <a:pt x="0" y="2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962025</xdr:colOff>
      <xdr:row>5</xdr:row>
      <xdr:rowOff>161925</xdr:rowOff>
    </xdr:from>
    <xdr:to>
      <xdr:col>4</xdr:col>
      <xdr:colOff>257175</xdr:colOff>
      <xdr:row>13</xdr:row>
      <xdr:rowOff>180975</xdr:rowOff>
    </xdr:to>
    <xdr:grpSp>
      <xdr:nvGrpSpPr>
        <xdr:cNvPr id="61" name="Groupe 98"/>
        <xdr:cNvGrpSpPr>
          <a:grpSpLocks/>
        </xdr:cNvGrpSpPr>
      </xdr:nvGrpSpPr>
      <xdr:grpSpPr>
        <a:xfrm>
          <a:off x="3552825" y="1628775"/>
          <a:ext cx="285750" cy="2114550"/>
          <a:chOff x="7867648" y="1657350"/>
          <a:chExt cx="276226" cy="2105025"/>
        </a:xfrm>
        <a:solidFill>
          <a:srgbClr val="FFFFFF"/>
        </a:solidFill>
      </xdr:grpSpPr>
      <xdr:sp>
        <xdr:nvSpPr>
          <xdr:cNvPr id="62" name="Freeform 12"/>
          <xdr:cNvSpPr>
            <a:spLocks/>
          </xdr:cNvSpPr>
        </xdr:nvSpPr>
        <xdr:spPr>
          <a:xfrm flipH="1">
            <a:off x="7883462" y="1657350"/>
            <a:ext cx="260412" cy="1709807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13"/>
          <xdr:cNvSpPr>
            <a:spLocks/>
          </xdr:cNvSpPr>
        </xdr:nvSpPr>
        <xdr:spPr>
          <a:xfrm flipH="1">
            <a:off x="7867648" y="1747340"/>
            <a:ext cx="209586" cy="2015035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14</xdr:row>
      <xdr:rowOff>200025</xdr:rowOff>
    </xdr:from>
    <xdr:to>
      <xdr:col>6</xdr:col>
      <xdr:colOff>457200</xdr:colOff>
      <xdr:row>17</xdr:row>
      <xdr:rowOff>47625</xdr:rowOff>
    </xdr:to>
    <xdr:sp>
      <xdr:nvSpPr>
        <xdr:cNvPr id="64" name="Connecteur en angle 114"/>
        <xdr:cNvSpPr>
          <a:spLocks/>
        </xdr:cNvSpPr>
      </xdr:nvSpPr>
      <xdr:spPr>
        <a:xfrm>
          <a:off x="1628775" y="4067175"/>
          <a:ext cx="4438650" cy="762000"/>
        </a:xfrm>
        <a:prstGeom prst="bentConnector3">
          <a:avLst>
            <a:gd name="adj" fmla="val 2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17</xdr:row>
      <xdr:rowOff>28575</xdr:rowOff>
    </xdr:from>
    <xdr:to>
      <xdr:col>6</xdr:col>
      <xdr:colOff>485775</xdr:colOff>
      <xdr:row>19</xdr:row>
      <xdr:rowOff>219075</xdr:rowOff>
    </xdr:to>
    <xdr:sp>
      <xdr:nvSpPr>
        <xdr:cNvPr id="65" name="Connecteur droit 121"/>
        <xdr:cNvSpPr>
          <a:spLocks/>
        </xdr:cNvSpPr>
      </xdr:nvSpPr>
      <xdr:spPr>
        <a:xfrm rot="16200000" flipH="1">
          <a:off x="6076950" y="4810125"/>
          <a:ext cx="190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19</xdr:row>
      <xdr:rowOff>219075</xdr:rowOff>
    </xdr:from>
    <xdr:to>
      <xdr:col>7</xdr:col>
      <xdr:colOff>0</xdr:colOff>
      <xdr:row>19</xdr:row>
      <xdr:rowOff>219075</xdr:rowOff>
    </xdr:to>
    <xdr:sp>
      <xdr:nvSpPr>
        <xdr:cNvPr id="66" name="Connecteur droit avec flèche 125"/>
        <xdr:cNvSpPr>
          <a:spLocks/>
        </xdr:cNvSpPr>
      </xdr:nvSpPr>
      <xdr:spPr>
        <a:xfrm>
          <a:off x="6115050" y="561022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14</xdr:row>
      <xdr:rowOff>104775</xdr:rowOff>
    </xdr:from>
    <xdr:to>
      <xdr:col>2</xdr:col>
      <xdr:colOff>981075</xdr:colOff>
      <xdr:row>20</xdr:row>
      <xdr:rowOff>257175</xdr:rowOff>
    </xdr:to>
    <xdr:grpSp>
      <xdr:nvGrpSpPr>
        <xdr:cNvPr id="67" name="Groupe 126"/>
        <xdr:cNvGrpSpPr>
          <a:grpSpLocks/>
        </xdr:cNvGrpSpPr>
      </xdr:nvGrpSpPr>
      <xdr:grpSpPr>
        <a:xfrm flipH="1">
          <a:off x="2305050" y="3971925"/>
          <a:ext cx="285750" cy="1981200"/>
          <a:chOff x="7867648" y="1657350"/>
          <a:chExt cx="276226" cy="2105025"/>
        </a:xfrm>
        <a:solidFill>
          <a:srgbClr val="FFFFFF"/>
        </a:solidFill>
      </xdr:grpSpPr>
      <xdr:sp>
        <xdr:nvSpPr>
          <xdr:cNvPr id="68" name="Freeform 12"/>
          <xdr:cNvSpPr>
            <a:spLocks/>
          </xdr:cNvSpPr>
        </xdr:nvSpPr>
        <xdr:spPr>
          <a:xfrm flipH="1">
            <a:off x="7883462" y="1657350"/>
            <a:ext cx="260412" cy="1709807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13"/>
          <xdr:cNvSpPr>
            <a:spLocks/>
          </xdr:cNvSpPr>
        </xdr:nvSpPr>
        <xdr:spPr>
          <a:xfrm flipH="1">
            <a:off x="7867648" y="1747340"/>
            <a:ext cx="209586" cy="2015035"/>
          </a:xfrm>
          <a:custGeom>
            <a:pathLst>
              <a:path h="131" w="15">
                <a:moveTo>
                  <a:pt x="13" y="0"/>
                </a:moveTo>
                <a:lnTo>
                  <a:pt x="0" y="0"/>
                </a:lnTo>
                <a:lnTo>
                  <a:pt x="0" y="131"/>
                </a:lnTo>
                <a:lnTo>
                  <a:pt x="15" y="13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981075</xdr:colOff>
      <xdr:row>14</xdr:row>
      <xdr:rowOff>161925</xdr:rowOff>
    </xdr:from>
    <xdr:to>
      <xdr:col>4</xdr:col>
      <xdr:colOff>962025</xdr:colOff>
      <xdr:row>20</xdr:row>
      <xdr:rowOff>28575</xdr:rowOff>
    </xdr:to>
    <xdr:grpSp>
      <xdr:nvGrpSpPr>
        <xdr:cNvPr id="70" name="Group 19"/>
        <xdr:cNvGrpSpPr>
          <a:grpSpLocks/>
        </xdr:cNvGrpSpPr>
      </xdr:nvGrpSpPr>
      <xdr:grpSpPr>
        <a:xfrm flipH="1">
          <a:off x="3571875" y="4029075"/>
          <a:ext cx="971550" cy="1695450"/>
          <a:chOff x="590" y="152"/>
          <a:chExt cx="40" cy="231"/>
        </a:xfrm>
        <a:solidFill>
          <a:srgbClr val="FFFFFF"/>
        </a:solidFill>
      </xdr:grpSpPr>
      <xdr:sp>
        <xdr:nvSpPr>
          <xdr:cNvPr id="71" name="Freeform 14"/>
          <xdr:cNvSpPr>
            <a:spLocks/>
          </xdr:cNvSpPr>
        </xdr:nvSpPr>
        <xdr:spPr>
          <a:xfrm>
            <a:off x="590" y="152"/>
            <a:ext cx="37" cy="195"/>
          </a:xfrm>
          <a:custGeom>
            <a:pathLst>
              <a:path h="195" w="37">
                <a:moveTo>
                  <a:pt x="37" y="0"/>
                </a:moveTo>
                <a:lnTo>
                  <a:pt x="19" y="0"/>
                </a:lnTo>
                <a:lnTo>
                  <a:pt x="19" y="195"/>
                </a:lnTo>
                <a:lnTo>
                  <a:pt x="0" y="195"/>
                </a:lnTo>
              </a:path>
            </a:pathLst>
          </a:custGeom>
          <a:noFill/>
          <a:ln w="38100" cmpd="sng">
            <a:solidFill>
              <a:srgbClr val="4F81BD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Freeform 15"/>
          <xdr:cNvSpPr>
            <a:spLocks/>
          </xdr:cNvSpPr>
        </xdr:nvSpPr>
        <xdr:spPr>
          <a:xfrm>
            <a:off x="591" y="162"/>
            <a:ext cx="39" cy="221"/>
          </a:xfrm>
          <a:custGeom>
            <a:pathLst>
              <a:path h="220" w="39">
                <a:moveTo>
                  <a:pt x="39" y="0"/>
                </a:moveTo>
                <a:lnTo>
                  <a:pt x="26" y="0"/>
                </a:lnTo>
                <a:lnTo>
                  <a:pt x="26" y="219"/>
                </a:lnTo>
                <a:lnTo>
                  <a:pt x="0" y="220"/>
                </a:lnTo>
              </a:path>
            </a:pathLst>
          </a:custGeom>
          <a:noFill/>
          <a:ln w="38100" cmpd="sng">
            <a:solidFill>
              <a:srgbClr val="4F81BD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23</xdr:row>
      <xdr:rowOff>228600</xdr:rowOff>
    </xdr:from>
    <xdr:to>
      <xdr:col>2</xdr:col>
      <xdr:colOff>190500</xdr:colOff>
      <xdr:row>27</xdr:row>
      <xdr:rowOff>161925</xdr:rowOff>
    </xdr:to>
    <xdr:sp>
      <xdr:nvSpPr>
        <xdr:cNvPr id="73" name="Freeform 3"/>
        <xdr:cNvSpPr>
          <a:spLocks/>
        </xdr:cNvSpPr>
      </xdr:nvSpPr>
      <xdr:spPr>
        <a:xfrm flipH="1">
          <a:off x="1628775" y="6838950"/>
          <a:ext cx="161925" cy="1152525"/>
        </a:xfrm>
        <a:custGeom>
          <a:pathLst>
            <a:path h="131" w="15">
              <a:moveTo>
                <a:pt x="13" y="0"/>
              </a:moveTo>
              <a:lnTo>
                <a:pt x="0" y="0"/>
              </a:lnTo>
              <a:lnTo>
                <a:pt x="0" y="131"/>
              </a:lnTo>
              <a:lnTo>
                <a:pt x="15" y="13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123825</xdr:rowOff>
    </xdr:from>
    <xdr:to>
      <xdr:col>4</xdr:col>
      <xdr:colOff>962025</xdr:colOff>
      <xdr:row>21</xdr:row>
      <xdr:rowOff>66675</xdr:rowOff>
    </xdr:to>
    <xdr:sp>
      <xdr:nvSpPr>
        <xdr:cNvPr id="74" name="Forme libre 135"/>
        <xdr:cNvSpPr>
          <a:spLocks/>
        </xdr:cNvSpPr>
      </xdr:nvSpPr>
      <xdr:spPr>
        <a:xfrm>
          <a:off x="1628775" y="3990975"/>
          <a:ext cx="2914650" cy="2076450"/>
        </a:xfrm>
        <a:custGeom>
          <a:pathLst>
            <a:path h="2076450" w="2933700">
              <a:moveTo>
                <a:pt x="2933700" y="0"/>
              </a:moveTo>
              <a:lnTo>
                <a:pt x="2705100" y="0"/>
              </a:lnTo>
              <a:lnTo>
                <a:pt x="2714625" y="609600"/>
              </a:lnTo>
              <a:lnTo>
                <a:pt x="257175" y="609600"/>
              </a:lnTo>
              <a:lnTo>
                <a:pt x="247650" y="2076450"/>
              </a:lnTo>
              <a:lnTo>
                <a:pt x="0" y="2076450"/>
              </a:lnTo>
            </a:path>
          </a:pathLst>
        </a:custGeom>
        <a:solidFill>
          <a:srgbClr val="FFFFFF">
            <a:alpha val="5000"/>
          </a:srgbClr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14</xdr:row>
      <xdr:rowOff>180975</xdr:rowOff>
    </xdr:from>
    <xdr:to>
      <xdr:col>5</xdr:col>
      <xdr:colOff>161925</xdr:colOff>
      <xdr:row>22</xdr:row>
      <xdr:rowOff>66675</xdr:rowOff>
    </xdr:to>
    <xdr:sp>
      <xdr:nvSpPr>
        <xdr:cNvPr id="75" name="Forme libre 137"/>
        <xdr:cNvSpPr>
          <a:spLocks/>
        </xdr:cNvSpPr>
      </xdr:nvSpPr>
      <xdr:spPr>
        <a:xfrm>
          <a:off x="1800225" y="4048125"/>
          <a:ext cx="2933700" cy="2324100"/>
        </a:xfrm>
        <a:custGeom>
          <a:pathLst>
            <a:path h="2076450" w="2933700">
              <a:moveTo>
                <a:pt x="2933700" y="0"/>
              </a:moveTo>
              <a:lnTo>
                <a:pt x="2705100" y="0"/>
              </a:lnTo>
              <a:lnTo>
                <a:pt x="2714625" y="609600"/>
              </a:lnTo>
              <a:lnTo>
                <a:pt x="257175" y="609600"/>
              </a:lnTo>
              <a:lnTo>
                <a:pt x="247650" y="2076450"/>
              </a:lnTo>
              <a:lnTo>
                <a:pt x="0" y="2076450"/>
              </a:lnTo>
            </a:path>
          </a:pathLst>
        </a:custGeom>
        <a:solidFill>
          <a:srgbClr val="FFFFFF">
            <a:alpha val="5000"/>
          </a:srgbClr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76200</xdr:rowOff>
    </xdr:from>
    <xdr:to>
      <xdr:col>6</xdr:col>
      <xdr:colOff>952500</xdr:colOff>
      <xdr:row>21</xdr:row>
      <xdr:rowOff>152400</xdr:rowOff>
    </xdr:to>
    <xdr:sp>
      <xdr:nvSpPr>
        <xdr:cNvPr id="76" name="Forme libre 76"/>
        <xdr:cNvSpPr>
          <a:spLocks/>
        </xdr:cNvSpPr>
      </xdr:nvSpPr>
      <xdr:spPr>
        <a:xfrm>
          <a:off x="3619500" y="3943350"/>
          <a:ext cx="2943225" cy="2209800"/>
        </a:xfrm>
        <a:custGeom>
          <a:pathLst>
            <a:path h="2209800" w="2962275">
              <a:moveTo>
                <a:pt x="2962275" y="0"/>
              </a:moveTo>
              <a:lnTo>
                <a:pt x="2600325" y="9525"/>
              </a:lnTo>
              <a:lnTo>
                <a:pt x="2619375" y="733425"/>
              </a:lnTo>
              <a:lnTo>
                <a:pt x="2619375" y="981075"/>
              </a:lnTo>
              <a:lnTo>
                <a:pt x="171450" y="1009650"/>
              </a:lnTo>
              <a:lnTo>
                <a:pt x="161925" y="2209800"/>
              </a:lnTo>
              <a:lnTo>
                <a:pt x="0" y="2209800"/>
              </a:lnTo>
            </a:path>
          </a:pathLst>
        </a:custGeom>
        <a:noFill/>
        <a:ln w="2540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14</xdr:row>
      <xdr:rowOff>228600</xdr:rowOff>
    </xdr:from>
    <xdr:to>
      <xdr:col>6</xdr:col>
      <xdr:colOff>962025</xdr:colOff>
      <xdr:row>22</xdr:row>
      <xdr:rowOff>123825</xdr:rowOff>
    </xdr:to>
    <xdr:sp>
      <xdr:nvSpPr>
        <xdr:cNvPr id="77" name="Forme libre 142"/>
        <xdr:cNvSpPr>
          <a:spLocks/>
        </xdr:cNvSpPr>
      </xdr:nvSpPr>
      <xdr:spPr>
        <a:xfrm>
          <a:off x="3648075" y="4095750"/>
          <a:ext cx="2924175" cy="2333625"/>
        </a:xfrm>
        <a:custGeom>
          <a:pathLst>
            <a:path h="2333625" w="2943225">
              <a:moveTo>
                <a:pt x="2943225" y="0"/>
              </a:moveTo>
              <a:lnTo>
                <a:pt x="2733675" y="0"/>
              </a:lnTo>
              <a:lnTo>
                <a:pt x="2724150" y="923925"/>
              </a:lnTo>
              <a:lnTo>
                <a:pt x="314325" y="942975"/>
              </a:lnTo>
              <a:lnTo>
                <a:pt x="295275" y="2333625"/>
              </a:lnTo>
              <a:lnTo>
                <a:pt x="0" y="2333625"/>
              </a:lnTo>
            </a:path>
          </a:pathLst>
        </a:custGeom>
        <a:solidFill>
          <a:srgbClr val="FFFFFF">
            <a:alpha val="0"/>
          </a:srgbClr>
        </a:solidFill>
        <a:ln w="15875" cmpd="sng">
          <a:solidFill>
            <a:srgbClr val="C0504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38100</xdr:rowOff>
    </xdr:from>
    <xdr:to>
      <xdr:col>7</xdr:col>
      <xdr:colOff>209550</xdr:colOff>
      <xdr:row>21</xdr:row>
      <xdr:rowOff>66675</xdr:rowOff>
    </xdr:to>
    <xdr:sp>
      <xdr:nvSpPr>
        <xdr:cNvPr id="78" name="Connecteur droit avec flèche 144"/>
        <xdr:cNvSpPr>
          <a:spLocks/>
        </xdr:cNvSpPr>
      </xdr:nvSpPr>
      <xdr:spPr>
        <a:xfrm rot="5400000">
          <a:off x="5638800" y="4210050"/>
          <a:ext cx="1171575" cy="1857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66675</xdr:rowOff>
    </xdr:from>
    <xdr:to>
      <xdr:col>7</xdr:col>
      <xdr:colOff>409575</xdr:colOff>
      <xdr:row>22</xdr:row>
      <xdr:rowOff>142875</xdr:rowOff>
    </xdr:to>
    <xdr:sp>
      <xdr:nvSpPr>
        <xdr:cNvPr id="79" name="Connecteur droit avec flèche 146"/>
        <xdr:cNvSpPr>
          <a:spLocks/>
        </xdr:cNvSpPr>
      </xdr:nvSpPr>
      <xdr:spPr>
        <a:xfrm rot="5400000">
          <a:off x="5619750" y="4238625"/>
          <a:ext cx="1390650" cy="2209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21</xdr:row>
      <xdr:rowOff>161925</xdr:rowOff>
    </xdr:from>
    <xdr:to>
      <xdr:col>6</xdr:col>
      <xdr:colOff>962025</xdr:colOff>
      <xdr:row>23</xdr:row>
      <xdr:rowOff>180975</xdr:rowOff>
    </xdr:to>
    <xdr:sp>
      <xdr:nvSpPr>
        <xdr:cNvPr id="80" name="Connecteur droit avec flèche 148"/>
        <xdr:cNvSpPr>
          <a:spLocks/>
        </xdr:cNvSpPr>
      </xdr:nvSpPr>
      <xdr:spPr>
        <a:xfrm flipV="1">
          <a:off x="5638800" y="6162675"/>
          <a:ext cx="933450" cy="628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152400</xdr:rowOff>
    </xdr:from>
    <xdr:to>
      <xdr:col>3</xdr:col>
      <xdr:colOff>266700</xdr:colOff>
      <xdr:row>32</xdr:row>
      <xdr:rowOff>266700</xdr:rowOff>
    </xdr:to>
    <xdr:sp>
      <xdr:nvSpPr>
        <xdr:cNvPr id="81" name="Forme libre 150"/>
        <xdr:cNvSpPr>
          <a:spLocks/>
        </xdr:cNvSpPr>
      </xdr:nvSpPr>
      <xdr:spPr>
        <a:xfrm>
          <a:off x="1628775" y="6762750"/>
          <a:ext cx="1228725" cy="2857500"/>
        </a:xfrm>
        <a:custGeom>
          <a:pathLst>
            <a:path h="2857500" w="1228725">
              <a:moveTo>
                <a:pt x="0" y="0"/>
              </a:moveTo>
              <a:lnTo>
                <a:pt x="323850" y="0"/>
              </a:lnTo>
              <a:lnTo>
                <a:pt x="333375" y="1819275"/>
              </a:lnTo>
              <a:lnTo>
                <a:pt x="1228725" y="1828800"/>
              </a:lnTo>
              <a:lnTo>
                <a:pt x="1228725" y="2857500"/>
              </a:lnTo>
            </a:path>
          </a:pathLst>
        </a:cu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23</xdr:row>
      <xdr:rowOff>104775</xdr:rowOff>
    </xdr:from>
    <xdr:to>
      <xdr:col>3</xdr:col>
      <xdr:colOff>714375</xdr:colOff>
      <xdr:row>32</xdr:row>
      <xdr:rowOff>266700</xdr:rowOff>
    </xdr:to>
    <xdr:sp>
      <xdr:nvSpPr>
        <xdr:cNvPr id="82" name="Forme libre 151"/>
        <xdr:cNvSpPr>
          <a:spLocks/>
        </xdr:cNvSpPr>
      </xdr:nvSpPr>
      <xdr:spPr>
        <a:xfrm>
          <a:off x="1638300" y="6715125"/>
          <a:ext cx="1666875" cy="2905125"/>
        </a:xfrm>
        <a:custGeom>
          <a:pathLst>
            <a:path h="2905125" w="1657350">
              <a:moveTo>
                <a:pt x="0" y="0"/>
              </a:moveTo>
              <a:lnTo>
                <a:pt x="371475" y="0"/>
              </a:lnTo>
              <a:lnTo>
                <a:pt x="390525" y="1790700"/>
              </a:lnTo>
              <a:lnTo>
                <a:pt x="1352550" y="1781175"/>
              </a:lnTo>
              <a:lnTo>
                <a:pt x="1628775" y="1781175"/>
              </a:lnTo>
              <a:lnTo>
                <a:pt x="1657350" y="2905125"/>
              </a:lnTo>
            </a:path>
          </a:pathLst>
        </a:cu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2</xdr:col>
      <xdr:colOff>38100</xdr:colOff>
      <xdr:row>0</xdr:row>
      <xdr:rowOff>1123950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990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1000125</xdr:colOff>
      <xdr:row>1</xdr:row>
      <xdr:rowOff>9525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28575</xdr:rowOff>
    </xdr:from>
    <xdr:to>
      <xdr:col>0</xdr:col>
      <xdr:colOff>1609725</xdr:colOff>
      <xdr:row>1</xdr:row>
      <xdr:rowOff>1085850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19075"/>
          <a:ext cx="1485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Propri&#233;taire\Local%20Settings\Temporary%20Internet%20Files\Content.Outlook\UIVQS8X3\Grilles%20de%20match\grille-%2013%20&#233;quipes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Propri&#233;taire\Local%20Settings\Temporary%20Internet%20Files\Content.Outlook\UIVQS8X3\Grilles%20de%20match\grille%2042%20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Propri&#233;taire\Local%20Settings\Temporary%20Internet%20Files\Content.Outlook\UIVQS8X3\Grilles%20de%20match\nouvelle%20version\grille%2042%20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Propri&#233;taire\Local%20Settings\Temporary%20Internet%20Files\Content.Outlook\UIVQS8X3\Grilles%20de%20match\nouvelle%20version\D1M2%208%20equip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Propri&#233;taire\Mes%20documents\HOCKEY\Championnats%202009\GRENOBLE%20MIN%20JUNIOR\Grille%2046%20junior%202009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USSEL_CEC\Downloads\grille%20jou&#233;e%20manche%201%20masculine%20Abbeville%2012-11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grille"/>
      <sheetName val="poules"/>
      <sheetName val="Classement"/>
      <sheetName val="Arbitres"/>
      <sheetName val="Grille 59"/>
    </sheetNames>
    <sheetDataSet>
      <sheetData sheetId="0">
        <row r="4">
          <cell r="C4" t="str">
            <v>2009-2010</v>
          </cell>
        </row>
        <row r="5">
          <cell r="C5" t="str">
            <v>JUNIOR </v>
          </cell>
        </row>
        <row r="6">
          <cell r="C6" t="str">
            <v>27 &amp; 28 Mars 2010</v>
          </cell>
        </row>
        <row r="7">
          <cell r="C7" t="str">
            <v>LA ROCHELLE</v>
          </cell>
        </row>
        <row r="9">
          <cell r="C9">
            <v>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grille"/>
      <sheetName val="poules"/>
      <sheetName val="Classement"/>
      <sheetName val="Temporaire"/>
      <sheetName val="Arbitres"/>
      <sheetName val="Mode d'emploi"/>
      <sheetName val="Organisation"/>
      <sheetName val="Feuil1"/>
    </sheetNames>
    <sheetDataSet>
      <sheetData sheetId="0">
        <row r="8">
          <cell r="C8" t="str">
            <v>2*10' +2' de mi-temps +1' temps mort par  équipe +3' inter-match = 27'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Organisation"/>
      <sheetName val="grille"/>
      <sheetName val="poules"/>
      <sheetName val="Classement"/>
      <sheetName val="calcul"/>
      <sheetName val="Arbitres"/>
      <sheetName val="emmargement"/>
    </sheetNames>
    <sheetDataSet>
      <sheetData sheetId="3">
        <row r="25">
          <cell r="C25" t="str">
            <v/>
          </cell>
        </row>
        <row r="26">
          <cell r="C26" t="str">
            <v/>
          </cell>
        </row>
        <row r="27">
          <cell r="C27" t="str">
            <v/>
          </cell>
        </row>
        <row r="30">
          <cell r="C30" t="str">
            <v/>
          </cell>
        </row>
        <row r="31">
          <cell r="C31" t="str">
            <v/>
          </cell>
          <cell r="P31" t="str">
            <v/>
          </cell>
          <cell r="T31" t="str">
            <v/>
          </cell>
        </row>
        <row r="32">
          <cell r="C32" t="str">
            <v/>
          </cell>
          <cell r="P32" t="str">
            <v/>
          </cell>
          <cell r="T32" t="str">
            <v/>
          </cell>
        </row>
        <row r="35">
          <cell r="C35" t="str">
            <v/>
          </cell>
          <cell r="G35" t="str">
            <v/>
          </cell>
          <cell r="P35" t="str">
            <v/>
          </cell>
          <cell r="T35" t="str">
            <v/>
          </cell>
        </row>
        <row r="36">
          <cell r="C36" t="str">
            <v/>
          </cell>
          <cell r="G36" t="str">
            <v/>
          </cell>
          <cell r="P36" t="str">
            <v/>
          </cell>
          <cell r="T36" t="str">
            <v/>
          </cell>
        </row>
        <row r="39">
          <cell r="C39" t="str">
            <v> </v>
          </cell>
          <cell r="J39" t="str">
            <v> </v>
          </cell>
          <cell r="R39" t="str">
            <v> </v>
          </cell>
        </row>
        <row r="40">
          <cell r="C40" t="str">
            <v> </v>
          </cell>
          <cell r="J40" t="str">
            <v> </v>
          </cell>
          <cell r="R40" t="str">
            <v> </v>
          </cell>
        </row>
        <row r="43">
          <cell r="C43" t="str">
            <v> </v>
          </cell>
          <cell r="J43" t="str">
            <v> </v>
          </cell>
          <cell r="R43" t="str">
            <v> </v>
          </cell>
        </row>
        <row r="44">
          <cell r="C44" t="str">
            <v> </v>
          </cell>
          <cell r="J44" t="str">
            <v> </v>
          </cell>
          <cell r="R44" t="str">
            <v> </v>
          </cell>
        </row>
      </sheetData>
      <sheetData sheetId="5">
        <row r="2">
          <cell r="J2" t="str">
            <v/>
          </cell>
          <cell r="K2" t="str">
            <v/>
          </cell>
        </row>
        <row r="3">
          <cell r="J3" t="str">
            <v/>
          </cell>
          <cell r="K3" t="str">
            <v/>
          </cell>
        </row>
        <row r="4">
          <cell r="J4" t="str">
            <v/>
          </cell>
          <cell r="K4" t="str">
            <v/>
          </cell>
        </row>
        <row r="5">
          <cell r="J5" t="str">
            <v/>
          </cell>
          <cell r="K5" t="str">
            <v/>
          </cell>
        </row>
        <row r="6">
          <cell r="J6" t="str">
            <v/>
          </cell>
          <cell r="K6" t="str">
            <v/>
          </cell>
        </row>
        <row r="7">
          <cell r="J7" t="str">
            <v/>
          </cell>
          <cell r="K7" t="str">
            <v/>
          </cell>
        </row>
        <row r="8">
          <cell r="J8" t="str">
            <v/>
          </cell>
          <cell r="K8" t="str">
            <v/>
          </cell>
        </row>
        <row r="9">
          <cell r="J9" t="str">
            <v/>
          </cell>
          <cell r="K9" t="str">
            <v/>
          </cell>
        </row>
        <row r="10">
          <cell r="J10" t="str">
            <v/>
          </cell>
          <cell r="K10" t="str">
            <v/>
          </cell>
        </row>
        <row r="11">
          <cell r="J11" t="str">
            <v/>
          </cell>
          <cell r="K11" t="str">
            <v/>
          </cell>
        </row>
        <row r="12">
          <cell r="J12" t="str">
            <v/>
          </cell>
          <cell r="K12" t="str">
            <v/>
          </cell>
        </row>
        <row r="13">
          <cell r="J13" t="str">
            <v/>
          </cell>
          <cell r="K13" t="str">
            <v/>
          </cell>
        </row>
        <row r="14">
          <cell r="J14" t="str">
            <v/>
          </cell>
          <cell r="K14" t="str">
            <v/>
          </cell>
        </row>
        <row r="15">
          <cell r="J15" t="str">
            <v/>
          </cell>
          <cell r="K15" t="str">
            <v/>
          </cell>
        </row>
        <row r="16">
          <cell r="J16" t="str">
            <v/>
          </cell>
          <cell r="K16" t="str">
            <v/>
          </cell>
        </row>
        <row r="17">
          <cell r="J17" t="str">
            <v/>
          </cell>
        </row>
        <row r="18">
          <cell r="J18" t="str">
            <v/>
          </cell>
          <cell r="K18" t="str">
            <v/>
          </cell>
        </row>
        <row r="19">
          <cell r="J19" t="str">
            <v/>
          </cell>
          <cell r="K19" t="str">
            <v/>
          </cell>
        </row>
        <row r="20">
          <cell r="J20" t="str">
            <v/>
          </cell>
          <cell r="K20" t="str">
            <v/>
          </cell>
        </row>
        <row r="21">
          <cell r="J21" t="str">
            <v/>
          </cell>
          <cell r="K21" t="str">
            <v/>
          </cell>
        </row>
        <row r="22">
          <cell r="J22" t="str">
            <v/>
          </cell>
          <cell r="K22" t="str">
            <v/>
          </cell>
        </row>
        <row r="23">
          <cell r="J23" t="str">
            <v/>
          </cell>
          <cell r="K23" t="str">
            <v/>
          </cell>
        </row>
        <row r="27">
          <cell r="J27" t="str">
            <v/>
          </cell>
          <cell r="K27" t="str">
            <v/>
          </cell>
        </row>
        <row r="28">
          <cell r="J28" t="str">
            <v/>
          </cell>
          <cell r="K28" t="str">
            <v/>
          </cell>
        </row>
        <row r="29">
          <cell r="J29" t="str">
            <v/>
          </cell>
          <cell r="K29" t="str">
            <v/>
          </cell>
        </row>
        <row r="30">
          <cell r="J30" t="str">
            <v/>
          </cell>
          <cell r="K30" t="str">
            <v/>
          </cell>
        </row>
        <row r="31">
          <cell r="J31" t="str">
            <v/>
          </cell>
          <cell r="K31" t="str">
            <v/>
          </cell>
        </row>
        <row r="32">
          <cell r="J32" t="str">
            <v/>
          </cell>
          <cell r="K32" t="str">
            <v/>
          </cell>
        </row>
        <row r="33">
          <cell r="J33" t="str">
            <v/>
          </cell>
          <cell r="K33" t="str">
            <v/>
          </cell>
        </row>
        <row r="34">
          <cell r="J34" t="str">
            <v/>
          </cell>
          <cell r="K34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Organisation"/>
      <sheetName val="Grille"/>
      <sheetName val="poules"/>
      <sheetName val="Classement"/>
      <sheetName val="Arbitres"/>
      <sheetName val="calcul"/>
      <sheetName val="emmargement"/>
    </sheetNames>
    <sheetDataSet>
      <sheetData sheetId="3">
        <row r="21">
          <cell r="C21" t="str">
            <v/>
          </cell>
          <cell r="G21" t="str">
            <v/>
          </cell>
          <cell r="P21" t="str">
            <v/>
          </cell>
          <cell r="X21" t="str">
            <v/>
          </cell>
        </row>
        <row r="22">
          <cell r="C22" t="str">
            <v/>
          </cell>
          <cell r="G22" t="str">
            <v/>
          </cell>
          <cell r="P22" t="str">
            <v/>
          </cell>
          <cell r="X22" t="str">
            <v/>
          </cell>
        </row>
        <row r="25">
          <cell r="C25" t="str">
            <v/>
          </cell>
          <cell r="H25" t="str">
            <v/>
          </cell>
          <cell r="Q25" t="str">
            <v/>
          </cell>
          <cell r="Z25" t="str">
            <v/>
          </cell>
        </row>
        <row r="26">
          <cell r="C26" t="str">
            <v/>
          </cell>
          <cell r="H26" t="str">
            <v/>
          </cell>
          <cell r="Q26" t="str">
            <v/>
          </cell>
          <cell r="Z26" t="str">
            <v/>
          </cell>
        </row>
        <row r="29">
          <cell r="C29" t="str">
            <v/>
          </cell>
          <cell r="H29" t="str">
            <v/>
          </cell>
          <cell r="Q29" t="str">
            <v/>
          </cell>
          <cell r="Z29" t="str">
            <v/>
          </cell>
        </row>
        <row r="30">
          <cell r="C30" t="str">
            <v/>
          </cell>
          <cell r="H30" t="str">
            <v/>
          </cell>
          <cell r="Q30" t="str">
            <v/>
          </cell>
          <cell r="Z30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ille 59"/>
      <sheetName val="grille"/>
      <sheetName val="poules"/>
      <sheetName val="Fiche de renseignements compét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grille"/>
      <sheetName val="poules"/>
      <sheetName val="Classement"/>
      <sheetName val="Arbitres"/>
      <sheetName val="Organisation"/>
    </sheetNames>
    <sheetDataSet>
      <sheetData sheetId="0">
        <row r="4">
          <cell r="C4" t="str">
            <v>2017-2018</v>
          </cell>
        </row>
        <row r="5">
          <cell r="C5" t="str">
            <v>D1 Masculine</v>
          </cell>
        </row>
        <row r="6">
          <cell r="C6" t="str">
            <v>11 et 12 novembre</v>
          </cell>
        </row>
        <row r="7">
          <cell r="C7" t="str">
            <v>Abbeville</v>
          </cell>
        </row>
        <row r="8">
          <cell r="C8" t="str">
            <v>2*11' + 2' mi-temps + 1 temps mort / équipe +4' inter match= 30'</v>
          </cell>
        </row>
        <row r="9">
          <cell r="C9">
            <v>0.020833333333333332</v>
          </cell>
        </row>
        <row r="10">
          <cell r="C10" t="str">
            <v>2*13' + 2' mi-temps + 1 temps mort / équipe +4' inter match= 34'</v>
          </cell>
        </row>
        <row r="11">
          <cell r="C11">
            <v>0.02361111111111111</v>
          </cell>
        </row>
        <row r="16">
          <cell r="B16" t="str">
            <v>RENNES</v>
          </cell>
        </row>
        <row r="17">
          <cell r="B17" t="str">
            <v>MOIRANS</v>
          </cell>
        </row>
        <row r="18">
          <cell r="B18" t="str">
            <v>DINAN</v>
          </cell>
        </row>
        <row r="19">
          <cell r="B19" t="str">
            <v>HYERES</v>
          </cell>
        </row>
        <row r="20">
          <cell r="B20" t="str">
            <v>TOULOUSE</v>
          </cell>
        </row>
        <row r="23">
          <cell r="B23" t="str">
            <v>FONTENAY</v>
          </cell>
        </row>
        <row r="24">
          <cell r="B24" t="str">
            <v>PONTOISE</v>
          </cell>
        </row>
        <row r="25">
          <cell r="B25" t="str">
            <v>FRANCONVILLE</v>
          </cell>
        </row>
        <row r="26">
          <cell r="B26" t="str">
            <v>SAINTES</v>
          </cell>
        </row>
        <row r="27">
          <cell r="B27" t="str">
            <v>SEDAN</v>
          </cell>
        </row>
      </sheetData>
      <sheetData sheetId="1">
        <row r="9">
          <cell r="G9">
            <v>5</v>
          </cell>
          <cell r="H9">
            <v>0</v>
          </cell>
        </row>
        <row r="15">
          <cell r="G15">
            <v>3</v>
          </cell>
          <cell r="H15">
            <v>1</v>
          </cell>
        </row>
        <row r="22">
          <cell r="G22">
            <v>3</v>
          </cell>
          <cell r="H22">
            <v>1</v>
          </cell>
        </row>
        <row r="28">
          <cell r="G28">
            <v>9</v>
          </cell>
          <cell r="H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1:D56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11.421875" style="76" customWidth="1"/>
    <col min="2" max="2" width="42.57421875" style="71" customWidth="1"/>
    <col min="3" max="3" width="38.140625" style="71" customWidth="1"/>
    <col min="4" max="4" width="36.140625" style="71" customWidth="1"/>
    <col min="5" max="16384" width="11.421875" style="71" customWidth="1"/>
  </cols>
  <sheetData>
    <row r="1" spans="1:2" ht="12">
      <c r="A1" s="69"/>
      <c r="B1" s="70"/>
    </row>
    <row r="2" spans="1:3" ht="18.75" customHeight="1">
      <c r="A2" s="72">
        <v>1</v>
      </c>
      <c r="B2" s="73" t="s">
        <v>121</v>
      </c>
      <c r="C2" s="73" t="s">
        <v>248</v>
      </c>
    </row>
    <row r="3" spans="1:3" ht="15">
      <c r="A3" s="72">
        <v>2</v>
      </c>
      <c r="B3" s="73" t="s">
        <v>122</v>
      </c>
      <c r="C3" s="73" t="s">
        <v>249</v>
      </c>
    </row>
    <row r="4" spans="1:3" ht="15">
      <c r="A4" s="72">
        <v>3</v>
      </c>
      <c r="B4" s="73" t="s">
        <v>123</v>
      </c>
      <c r="C4" s="73" t="s">
        <v>250</v>
      </c>
    </row>
    <row r="5" spans="1:3" ht="15">
      <c r="A5" s="72">
        <v>4</v>
      </c>
      <c r="B5" s="73" t="s">
        <v>124</v>
      </c>
      <c r="C5" s="73" t="s">
        <v>251</v>
      </c>
    </row>
    <row r="6" spans="1:3" ht="30.75">
      <c r="A6" s="72">
        <v>5</v>
      </c>
      <c r="B6" s="73" t="s">
        <v>130</v>
      </c>
      <c r="C6" s="73" t="s">
        <v>167</v>
      </c>
    </row>
    <row r="7" spans="1:3" ht="30.75">
      <c r="A7" s="72">
        <v>6</v>
      </c>
      <c r="B7" s="73" t="s">
        <v>125</v>
      </c>
      <c r="C7" s="96">
        <v>0.013194444444444444</v>
      </c>
    </row>
    <row r="8" spans="1:3" ht="15">
      <c r="A8" s="72">
        <v>7</v>
      </c>
      <c r="B8" s="73" t="s">
        <v>126</v>
      </c>
      <c r="C8" s="96">
        <v>0.017361111111111112</v>
      </c>
    </row>
    <row r="9" spans="1:3" ht="15">
      <c r="A9" s="72">
        <v>8</v>
      </c>
      <c r="B9" s="73" t="s">
        <v>127</v>
      </c>
      <c r="C9" s="96">
        <v>0.017361111111111112</v>
      </c>
    </row>
    <row r="10" spans="1:3" ht="15">
      <c r="A10" s="72">
        <v>9</v>
      </c>
      <c r="B10" s="73" t="s">
        <v>131</v>
      </c>
      <c r="C10" s="96">
        <v>0.3958333333333333</v>
      </c>
    </row>
    <row r="11" spans="1:3" ht="15">
      <c r="A11" s="72">
        <v>10</v>
      </c>
      <c r="B11" s="73" t="s">
        <v>132</v>
      </c>
      <c r="C11" s="96">
        <v>0.3333333333333333</v>
      </c>
    </row>
    <row r="12" spans="1:3" ht="15">
      <c r="A12" s="72"/>
      <c r="B12" s="73"/>
      <c r="C12" s="73"/>
    </row>
    <row r="13" spans="1:2" ht="15">
      <c r="A13" s="74"/>
      <c r="B13" s="75"/>
    </row>
    <row r="14" spans="1:2" ht="15.75" thickBot="1">
      <c r="A14" s="74" t="s">
        <v>54</v>
      </c>
      <c r="B14" s="75"/>
    </row>
    <row r="15" spans="1:2" ht="15">
      <c r="A15" s="226" t="s">
        <v>11</v>
      </c>
      <c r="B15" s="229" t="s">
        <v>232</v>
      </c>
    </row>
    <row r="16" spans="1:2" ht="15">
      <c r="A16" s="227" t="s">
        <v>12</v>
      </c>
      <c r="B16" s="230" t="s">
        <v>236</v>
      </c>
    </row>
    <row r="17" spans="1:2" ht="15">
      <c r="A17" s="227" t="s">
        <v>19</v>
      </c>
      <c r="B17" s="230" t="s">
        <v>240</v>
      </c>
    </row>
    <row r="18" spans="1:2" ht="15.75" thickBot="1">
      <c r="A18" s="228" t="s">
        <v>68</v>
      </c>
      <c r="B18" s="231" t="s">
        <v>246</v>
      </c>
    </row>
    <row r="20" ht="15.75" thickBot="1">
      <c r="A20" s="74" t="s">
        <v>55</v>
      </c>
    </row>
    <row r="21" spans="1:2" ht="15">
      <c r="A21" s="226" t="s">
        <v>13</v>
      </c>
      <c r="B21" s="232" t="s">
        <v>233</v>
      </c>
    </row>
    <row r="22" spans="1:2" ht="15">
      <c r="A22" s="227" t="s">
        <v>16</v>
      </c>
      <c r="B22" s="233" t="s">
        <v>237</v>
      </c>
    </row>
    <row r="23" spans="1:2" ht="15">
      <c r="A23" s="227" t="s">
        <v>20</v>
      </c>
      <c r="B23" s="233" t="s">
        <v>242</v>
      </c>
    </row>
    <row r="24" spans="1:2" ht="15.75" thickBot="1">
      <c r="A24" s="228" t="s">
        <v>69</v>
      </c>
      <c r="B24" s="231" t="s">
        <v>244</v>
      </c>
    </row>
    <row r="26" ht="15.75" thickBot="1">
      <c r="A26" s="74" t="s">
        <v>56</v>
      </c>
    </row>
    <row r="27" spans="1:2" ht="15">
      <c r="A27" s="226" t="s">
        <v>14</v>
      </c>
      <c r="B27" s="232" t="s">
        <v>234</v>
      </c>
    </row>
    <row r="28" spans="1:2" ht="15">
      <c r="A28" s="227" t="s">
        <v>17</v>
      </c>
      <c r="B28" s="233" t="s">
        <v>238</v>
      </c>
    </row>
    <row r="29" spans="1:2" ht="15">
      <c r="A29" s="227" t="s">
        <v>21</v>
      </c>
      <c r="B29" s="233" t="s">
        <v>241</v>
      </c>
    </row>
    <row r="30" spans="1:2" ht="15.75" thickBot="1">
      <c r="A30" s="228" t="s">
        <v>74</v>
      </c>
      <c r="B30" s="231" t="s">
        <v>245</v>
      </c>
    </row>
    <row r="32" ht="15.75" thickBot="1">
      <c r="A32" s="74" t="s">
        <v>57</v>
      </c>
    </row>
    <row r="33" spans="1:2" ht="15">
      <c r="A33" s="226" t="s">
        <v>15</v>
      </c>
      <c r="B33" s="232" t="s">
        <v>235</v>
      </c>
    </row>
    <row r="34" spans="1:2" ht="15">
      <c r="A34" s="227" t="s">
        <v>18</v>
      </c>
      <c r="B34" s="233" t="s">
        <v>239</v>
      </c>
    </row>
    <row r="35" spans="1:2" ht="15">
      <c r="A35" s="227" t="s">
        <v>22</v>
      </c>
      <c r="B35" s="233" t="s">
        <v>243</v>
      </c>
    </row>
    <row r="36" spans="1:2" ht="15.75" thickBot="1">
      <c r="A36" s="228" t="s">
        <v>75</v>
      </c>
      <c r="B36" s="231" t="s">
        <v>247</v>
      </c>
    </row>
    <row r="38" spans="1:4" ht="18">
      <c r="A38" s="249" t="s">
        <v>212</v>
      </c>
      <c r="B38" s="250"/>
      <c r="C38" s="251"/>
      <c r="D38" s="245" t="s">
        <v>213</v>
      </c>
    </row>
    <row r="39" spans="1:4" ht="15">
      <c r="A39" s="249" t="s">
        <v>202</v>
      </c>
      <c r="B39" s="250"/>
      <c r="C39" s="251"/>
      <c r="D39" s="244">
        <v>3</v>
      </c>
    </row>
    <row r="40" spans="1:4" ht="15">
      <c r="A40" s="237"/>
      <c r="B40" s="237" t="s">
        <v>190</v>
      </c>
      <c r="C40" s="237" t="s">
        <v>191</v>
      </c>
      <c r="D40" s="237" t="s">
        <v>169</v>
      </c>
    </row>
    <row r="41" spans="1:4" ht="15">
      <c r="A41" s="240">
        <v>1</v>
      </c>
      <c r="B41" s="239" t="s">
        <v>214</v>
      </c>
      <c r="C41" s="239" t="s">
        <v>181</v>
      </c>
      <c r="D41" s="239" t="s">
        <v>192</v>
      </c>
    </row>
    <row r="42" spans="1:4" ht="15">
      <c r="A42" s="240">
        <v>2</v>
      </c>
      <c r="B42" s="239" t="s">
        <v>215</v>
      </c>
      <c r="C42" s="239" t="s">
        <v>183</v>
      </c>
      <c r="D42" s="239" t="s">
        <v>193</v>
      </c>
    </row>
    <row r="43" spans="1:4" ht="15">
      <c r="A43" s="240">
        <v>3</v>
      </c>
      <c r="B43" s="239" t="s">
        <v>216</v>
      </c>
      <c r="C43" s="239" t="s">
        <v>178</v>
      </c>
      <c r="D43" s="239" t="s">
        <v>194</v>
      </c>
    </row>
    <row r="44" spans="1:4" ht="15">
      <c r="A44" s="240">
        <v>4</v>
      </c>
      <c r="B44" s="239" t="s">
        <v>217</v>
      </c>
      <c r="C44" s="239" t="s">
        <v>176</v>
      </c>
      <c r="D44" s="239" t="s">
        <v>195</v>
      </c>
    </row>
    <row r="45" spans="1:4" ht="15">
      <c r="A45" s="240">
        <v>5</v>
      </c>
      <c r="B45" s="239" t="s">
        <v>218</v>
      </c>
      <c r="C45" s="239" t="s">
        <v>177</v>
      </c>
      <c r="D45" s="239" t="s">
        <v>196</v>
      </c>
    </row>
    <row r="46" spans="1:4" ht="15">
      <c r="A46" s="240">
        <v>6</v>
      </c>
      <c r="B46" s="239" t="s">
        <v>219</v>
      </c>
      <c r="C46" s="239" t="s">
        <v>180</v>
      </c>
      <c r="D46" s="239" t="s">
        <v>197</v>
      </c>
    </row>
    <row r="47" spans="1:4" ht="15">
      <c r="A47" s="240">
        <v>7</v>
      </c>
      <c r="B47" s="239" t="s">
        <v>220</v>
      </c>
      <c r="C47" s="239" t="s">
        <v>179</v>
      </c>
      <c r="D47" s="239" t="s">
        <v>198</v>
      </c>
    </row>
    <row r="48" spans="1:4" ht="15">
      <c r="A48" s="240">
        <v>8</v>
      </c>
      <c r="B48" s="239" t="s">
        <v>221</v>
      </c>
      <c r="C48" s="239" t="s">
        <v>180</v>
      </c>
      <c r="D48" s="239" t="s">
        <v>199</v>
      </c>
    </row>
    <row r="49" spans="1:4" ht="15">
      <c r="A49" s="240">
        <v>9</v>
      </c>
      <c r="B49" s="239" t="s">
        <v>222</v>
      </c>
      <c r="C49" s="239" t="s">
        <v>182</v>
      </c>
      <c r="D49" s="239" t="s">
        <v>200</v>
      </c>
    </row>
    <row r="50" spans="1:4" ht="15">
      <c r="A50" s="240">
        <v>10</v>
      </c>
      <c r="B50" s="239"/>
      <c r="C50" s="239"/>
      <c r="D50" s="239"/>
    </row>
    <row r="51" spans="1:4" ht="15">
      <c r="A51" s="240">
        <v>11</v>
      </c>
      <c r="B51" s="239"/>
      <c r="C51" s="239"/>
      <c r="D51" s="239"/>
    </row>
    <row r="52" spans="1:4" ht="15">
      <c r="A52" s="240">
        <v>12</v>
      </c>
      <c r="B52" s="239"/>
      <c r="C52" s="239"/>
      <c r="D52" s="239"/>
    </row>
    <row r="53" spans="1:4" ht="15">
      <c r="A53" s="240">
        <v>13</v>
      </c>
      <c r="B53" s="239"/>
      <c r="C53" s="239"/>
      <c r="D53" s="239"/>
    </row>
    <row r="54" spans="1:4" ht="15">
      <c r="A54" s="240">
        <v>14</v>
      </c>
      <c r="B54" s="239"/>
      <c r="C54" s="239"/>
      <c r="D54" s="239"/>
    </row>
    <row r="55" spans="1:4" ht="15">
      <c r="A55" s="240">
        <v>15</v>
      </c>
      <c r="B55" s="239"/>
      <c r="C55" s="239"/>
      <c r="D55" s="239"/>
    </row>
    <row r="56" spans="1:4" ht="15">
      <c r="A56" s="240">
        <v>16</v>
      </c>
      <c r="B56" s="239"/>
      <c r="C56" s="239"/>
      <c r="D56" s="239"/>
    </row>
  </sheetData>
  <sheetProtection/>
  <mergeCells count="2">
    <mergeCell ref="A39:C39"/>
    <mergeCell ref="A38:C38"/>
  </mergeCells>
  <dataValidations count="2">
    <dataValidation type="list" allowBlank="1" showInputMessage="1" showErrorMessage="1" sqref="D38">
      <formula1>"Oui,Non"</formula1>
    </dataValidation>
    <dataValidation type="list" allowBlank="1" showInputMessage="1" showErrorMessage="1" sqref="D39">
      <formula1>"0,2,3,4"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rgb="FF00B050"/>
    <pageSetUpPr fitToPage="1"/>
  </sheetPr>
  <dimension ref="B1:H32"/>
  <sheetViews>
    <sheetView showGridLines="0" zoomScale="90" zoomScaleNormal="90" zoomScalePageLayoutView="0" workbookViewId="0" topLeftCell="A10">
      <selection activeCell="B20" sqref="B20"/>
    </sheetView>
  </sheetViews>
  <sheetFormatPr defaultColWidth="11.421875" defaultRowHeight="12.75"/>
  <cols>
    <col min="1" max="1" width="9.140625" style="107" customWidth="1"/>
    <col min="2" max="5" width="14.8515625" style="107" customWidth="1"/>
    <col min="6" max="6" width="15.57421875" style="107" customWidth="1"/>
    <col min="7" max="7" width="14.8515625" style="107" customWidth="1"/>
    <col min="8" max="8" width="15.57421875" style="107" customWidth="1"/>
    <col min="9" max="16384" width="11.421875" style="107" customWidth="1"/>
  </cols>
  <sheetData>
    <row r="1" spans="2:8" ht="16.5" thickBot="1" thickTop="1">
      <c r="B1" s="106" t="s">
        <v>133</v>
      </c>
      <c r="D1" s="106" t="s">
        <v>134</v>
      </c>
      <c r="F1" s="106" t="s">
        <v>135</v>
      </c>
      <c r="H1" s="106" t="s">
        <v>136</v>
      </c>
    </row>
    <row r="2" spans="2:8" ht="24.75" customHeight="1" thickTop="1">
      <c r="B2" s="108" t="s">
        <v>11</v>
      </c>
      <c r="D2" s="108" t="s">
        <v>13</v>
      </c>
      <c r="F2" s="108" t="s">
        <v>14</v>
      </c>
      <c r="H2" s="108" t="s">
        <v>15</v>
      </c>
    </row>
    <row r="3" spans="2:8" ht="24.75" customHeight="1">
      <c r="B3" s="109" t="s">
        <v>12</v>
      </c>
      <c r="D3" s="109" t="s">
        <v>16</v>
      </c>
      <c r="F3" s="109" t="s">
        <v>17</v>
      </c>
      <c r="H3" s="109" t="s">
        <v>18</v>
      </c>
    </row>
    <row r="4" spans="2:8" ht="24.75" customHeight="1" thickBot="1">
      <c r="B4" s="110" t="s">
        <v>19</v>
      </c>
      <c r="D4" s="110" t="s">
        <v>20</v>
      </c>
      <c r="F4" s="110" t="s">
        <v>21</v>
      </c>
      <c r="H4" s="110" t="s">
        <v>22</v>
      </c>
    </row>
    <row r="5" spans="2:8" ht="24.75" customHeight="1" thickBot="1" thickTop="1">
      <c r="B5" s="110" t="s">
        <v>68</v>
      </c>
      <c r="D5" s="110" t="s">
        <v>69</v>
      </c>
      <c r="F5" s="110" t="s">
        <v>74</v>
      </c>
      <c r="H5" s="110" t="s">
        <v>75</v>
      </c>
    </row>
    <row r="6" spans="2:8" ht="24.75" customHeight="1" thickBot="1" thickTop="1">
      <c r="B6" s="111" t="s">
        <v>137</v>
      </c>
      <c r="D6" s="111" t="s">
        <v>138</v>
      </c>
      <c r="F6" s="111" t="s">
        <v>139</v>
      </c>
      <c r="H6" s="111" t="s">
        <v>140</v>
      </c>
    </row>
    <row r="7" ht="16.5" thickTop="1"/>
    <row r="8" ht="15.75"/>
    <row r="9" ht="16.5" thickBot="1"/>
    <row r="10" spans="2:8" ht="17.25" thickBot="1" thickTop="1">
      <c r="B10" s="112" t="s">
        <v>141</v>
      </c>
      <c r="D10" s="113" t="s">
        <v>142</v>
      </c>
      <c r="F10" s="112" t="s">
        <v>143</v>
      </c>
      <c r="H10" s="113" t="s">
        <v>144</v>
      </c>
    </row>
    <row r="11" spans="2:8" ht="24.75" customHeight="1" thickTop="1">
      <c r="B11" s="114" t="s">
        <v>23</v>
      </c>
      <c r="D11" s="115" t="s">
        <v>33</v>
      </c>
      <c r="F11" s="114" t="s">
        <v>25</v>
      </c>
      <c r="H11" s="115" t="s">
        <v>31</v>
      </c>
    </row>
    <row r="12" spans="2:8" ht="24.75" customHeight="1">
      <c r="B12" s="116" t="s">
        <v>24</v>
      </c>
      <c r="D12" s="117" t="s">
        <v>80</v>
      </c>
      <c r="F12" s="116" t="s">
        <v>26</v>
      </c>
      <c r="H12" s="117" t="s">
        <v>82</v>
      </c>
    </row>
    <row r="13" spans="2:8" ht="24.75" customHeight="1">
      <c r="B13" s="118" t="s">
        <v>28</v>
      </c>
      <c r="D13" s="119" t="s">
        <v>34</v>
      </c>
      <c r="F13" s="118" t="s">
        <v>30</v>
      </c>
      <c r="H13" s="119" t="s">
        <v>32</v>
      </c>
    </row>
    <row r="14" spans="2:8" ht="24" customHeight="1" thickBot="1">
      <c r="B14" s="120" t="s">
        <v>27</v>
      </c>
      <c r="D14" s="121" t="s">
        <v>81</v>
      </c>
      <c r="F14" s="120" t="s">
        <v>29</v>
      </c>
      <c r="H14" s="121" t="s">
        <v>83</v>
      </c>
    </row>
    <row r="15" spans="2:8" ht="24" customHeight="1" thickBot="1" thickTop="1">
      <c r="B15" s="122" t="s">
        <v>145</v>
      </c>
      <c r="D15" s="123" t="s">
        <v>146</v>
      </c>
      <c r="F15" s="122" t="s">
        <v>147</v>
      </c>
      <c r="H15" s="123" t="s">
        <v>148</v>
      </c>
    </row>
    <row r="16" ht="24" customHeight="1" thickTop="1"/>
    <row r="17" ht="24" customHeight="1"/>
    <row r="18" ht="24" customHeight="1" thickBot="1"/>
    <row r="19" spans="2:8" ht="24" customHeight="1" thickBot="1" thickTop="1">
      <c r="B19" s="124" t="s">
        <v>149</v>
      </c>
      <c r="D19" s="124" t="s">
        <v>150</v>
      </c>
      <c r="F19" s="124" t="s">
        <v>151</v>
      </c>
      <c r="H19" s="124" t="s">
        <v>152</v>
      </c>
    </row>
    <row r="20" spans="2:8" ht="24" customHeight="1" thickTop="1">
      <c r="B20" s="125" t="s">
        <v>35</v>
      </c>
      <c r="D20" s="125" t="s">
        <v>87</v>
      </c>
      <c r="F20" s="125" t="s">
        <v>104</v>
      </c>
      <c r="H20" s="125" t="s">
        <v>37</v>
      </c>
    </row>
    <row r="21" spans="2:8" ht="24" customHeight="1">
      <c r="B21" s="126" t="s">
        <v>36</v>
      </c>
      <c r="D21" s="126" t="s">
        <v>88</v>
      </c>
      <c r="F21" s="126" t="s">
        <v>105</v>
      </c>
      <c r="H21" s="126" t="s">
        <v>38</v>
      </c>
    </row>
    <row r="22" spans="2:8" ht="24" customHeight="1" thickBot="1">
      <c r="B22" s="127" t="s">
        <v>40</v>
      </c>
      <c r="D22" s="127" t="s">
        <v>89</v>
      </c>
      <c r="F22" s="127" t="s">
        <v>106</v>
      </c>
      <c r="H22" s="127" t="s">
        <v>103</v>
      </c>
    </row>
    <row r="23" spans="2:8" ht="24" customHeight="1" thickBot="1" thickTop="1">
      <c r="B23" s="128" t="s">
        <v>39</v>
      </c>
      <c r="D23" s="128" t="s">
        <v>90</v>
      </c>
      <c r="F23" s="128" t="s">
        <v>107</v>
      </c>
      <c r="H23" s="129" t="s">
        <v>153</v>
      </c>
    </row>
    <row r="24" spans="2:6" ht="24" customHeight="1" thickBot="1" thickTop="1">
      <c r="B24" s="129" t="s">
        <v>154</v>
      </c>
      <c r="D24" s="129" t="s">
        <v>155</v>
      </c>
      <c r="F24" s="129" t="s">
        <v>156</v>
      </c>
    </row>
    <row r="25" ht="24" customHeight="1" thickBot="1" thickTop="1"/>
    <row r="26" spans="2:4" ht="24" customHeight="1" thickBot="1" thickTop="1">
      <c r="B26" s="130" t="s">
        <v>157</v>
      </c>
      <c r="D26" s="130" t="s">
        <v>158</v>
      </c>
    </row>
    <row r="27" spans="2:4" ht="24" customHeight="1" thickTop="1">
      <c r="B27" s="131" t="s">
        <v>41</v>
      </c>
      <c r="D27" s="131" t="s">
        <v>42</v>
      </c>
    </row>
    <row r="28" spans="2:4" ht="24" customHeight="1" thickBot="1">
      <c r="B28" s="132" t="s">
        <v>48</v>
      </c>
      <c r="D28" s="132" t="s">
        <v>47</v>
      </c>
    </row>
    <row r="29" spans="2:4" ht="24" customHeight="1" thickBot="1" thickTop="1">
      <c r="B29" s="133" t="s">
        <v>159</v>
      </c>
      <c r="D29" s="133" t="s">
        <v>160</v>
      </c>
    </row>
    <row r="30" ht="24" customHeight="1" thickBot="1" thickTop="1"/>
    <row r="31" spans="2:3" ht="24" customHeight="1" thickTop="1">
      <c r="B31" s="134" t="s">
        <v>161</v>
      </c>
      <c r="C31" s="134" t="s">
        <v>162</v>
      </c>
    </row>
    <row r="32" spans="2:3" ht="24" customHeight="1" thickBot="1">
      <c r="B32" s="135" t="s">
        <v>163</v>
      </c>
      <c r="C32" s="135" t="s">
        <v>164</v>
      </c>
    </row>
    <row r="33" ht="24" customHeight="1" thickTop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</sheetData>
  <sheetProtection password="DC2B" sheet="1" objects="1" scenarios="1"/>
  <printOptions/>
  <pageMargins left="0.19" right="0.27" top="0.47" bottom="0.984251968503937" header="0.26" footer="0.5118110236220472"/>
  <pageSetup fitToHeight="1" fitToWidth="1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AC69"/>
  <sheetViews>
    <sheetView tabSelected="1" zoomScalePageLayoutView="0" workbookViewId="0" topLeftCell="A55">
      <selection activeCell="K73" sqref="K73"/>
    </sheetView>
  </sheetViews>
  <sheetFormatPr defaultColWidth="11.421875" defaultRowHeight="12.75"/>
  <cols>
    <col min="1" max="1" width="10.140625" style="0" customWidth="1"/>
    <col min="2" max="2" width="8.57421875" style="0" customWidth="1"/>
    <col min="3" max="3" width="3.57421875" style="0" customWidth="1"/>
    <col min="4" max="4" width="20.421875" style="0" customWidth="1"/>
    <col min="5" max="5" width="4.57421875" style="0" customWidth="1"/>
    <col min="6" max="6" width="1.1484375" style="0" customWidth="1"/>
    <col min="7" max="8" width="7.57421875" style="1" customWidth="1"/>
    <col min="9" max="9" width="0.9921875" style="0" customWidth="1"/>
    <col min="10" max="10" width="4.57421875" style="0" customWidth="1"/>
    <col min="11" max="11" width="21.57421875" style="0" customWidth="1"/>
    <col min="12" max="12" width="0.9921875" style="0" customWidth="1"/>
    <col min="13" max="15" width="15.57421875" style="0" customWidth="1"/>
    <col min="16" max="18" width="7.57421875" style="0" customWidth="1"/>
  </cols>
  <sheetData>
    <row r="1" spans="6:7" s="43" customFormat="1" ht="90.75" customHeight="1">
      <c r="F1" s="44"/>
      <c r="G1" s="44"/>
    </row>
    <row r="2" spans="1:29" s="49" customFormat="1" ht="25.5" customHeight="1">
      <c r="A2" s="63" t="s">
        <v>67</v>
      </c>
      <c r="C2" s="259" t="str">
        <f>saison</f>
        <v>2021-2022</v>
      </c>
      <c r="D2" s="259"/>
      <c r="E2" s="259"/>
      <c r="F2" s="259"/>
      <c r="G2" s="259"/>
      <c r="H2" s="259"/>
      <c r="I2" s="259"/>
      <c r="J2" s="259"/>
      <c r="K2" s="260" t="s">
        <v>65</v>
      </c>
      <c r="L2" s="261"/>
      <c r="M2" s="234" t="str">
        <f>lieu</f>
        <v>Lagny sur Marne</v>
      </c>
      <c r="N2" s="235"/>
      <c r="O2" s="235"/>
      <c r="P2" s="235"/>
      <c r="Q2" s="235"/>
      <c r="R2" s="236"/>
      <c r="W2" s="51"/>
      <c r="AC2" s="49">
        <v>1</v>
      </c>
    </row>
    <row r="3" spans="1:18" s="49" customFormat="1" ht="21" customHeight="1">
      <c r="A3" s="63" t="s">
        <v>66</v>
      </c>
      <c r="C3" s="259" t="str">
        <f>date</f>
        <v>14 et 15 mai 2022</v>
      </c>
      <c r="D3" s="259"/>
      <c r="E3" s="259"/>
      <c r="F3" s="259"/>
      <c r="G3" s="259"/>
      <c r="H3" s="259"/>
      <c r="I3" s="259"/>
      <c r="J3" s="259"/>
      <c r="K3" s="260" t="s">
        <v>73</v>
      </c>
      <c r="L3" s="261"/>
      <c r="M3" s="262" t="str">
        <f>catégorie</f>
        <v>Benjamins</v>
      </c>
      <c r="N3" s="263"/>
      <c r="O3" s="263"/>
      <c r="P3" s="263"/>
      <c r="Q3" s="263"/>
      <c r="R3" s="264"/>
    </row>
    <row r="4" spans="1:26" s="43" customFormat="1" ht="27" customHeight="1" thickBot="1">
      <c r="A4" s="47"/>
      <c r="B4" s="265" t="s">
        <v>128</v>
      </c>
      <c r="C4" s="265"/>
      <c r="D4" s="265"/>
      <c r="E4" s="254" t="str">
        <f>'Fiche de renseignements compéti'!C6</f>
        <v>PoulesABCDXYVW :2*7'+2' mi temps +3' i-m = 19 '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47"/>
      <c r="T4" s="47"/>
      <c r="U4" s="47"/>
      <c r="V4" s="47"/>
      <c r="W4" s="47"/>
      <c r="X4" s="47"/>
      <c r="Y4" s="47"/>
      <c r="Z4" s="47"/>
    </row>
    <row r="5" spans="1:17" s="10" customFormat="1" ht="21.75" customHeight="1" thickBot="1" thickTop="1">
      <c r="A5" s="2"/>
      <c r="B5" s="2"/>
      <c r="C5" s="3"/>
      <c r="D5" s="4" t="s">
        <v>50</v>
      </c>
      <c r="E5" s="5"/>
      <c r="F5" s="6"/>
      <c r="G5" s="4" t="s">
        <v>51</v>
      </c>
      <c r="H5" s="7"/>
      <c r="I5" s="8"/>
      <c r="J5" s="9" t="s">
        <v>49</v>
      </c>
      <c r="K5" s="5"/>
      <c r="L5" s="6"/>
      <c r="M5" s="255" t="s">
        <v>4</v>
      </c>
      <c r="N5" s="256"/>
      <c r="O5" s="257"/>
      <c r="Q5" s="18"/>
    </row>
    <row r="6" spans="1:18" s="10" customFormat="1" ht="21.75" customHeight="1" thickBot="1" thickTop="1">
      <c r="A6" s="11" t="s">
        <v>53</v>
      </c>
      <c r="B6" s="11" t="s">
        <v>0</v>
      </c>
      <c r="C6" s="12" t="s">
        <v>9</v>
      </c>
      <c r="D6" s="12" t="s">
        <v>6</v>
      </c>
      <c r="E6" s="12" t="s">
        <v>7</v>
      </c>
      <c r="F6" s="13"/>
      <c r="G6" s="12" t="s">
        <v>1</v>
      </c>
      <c r="H6" s="12" t="s">
        <v>2</v>
      </c>
      <c r="I6" s="13"/>
      <c r="J6" s="12" t="s">
        <v>7</v>
      </c>
      <c r="K6" s="12" t="s">
        <v>5</v>
      </c>
      <c r="L6" s="13"/>
      <c r="M6" s="12" t="s">
        <v>3</v>
      </c>
      <c r="N6" s="252" t="s">
        <v>189</v>
      </c>
      <c r="O6" s="253"/>
      <c r="P6" s="252" t="s">
        <v>52</v>
      </c>
      <c r="Q6" s="258"/>
      <c r="R6" s="253"/>
    </row>
    <row r="7" spans="1:18" s="10" customFormat="1" ht="16.5" customHeight="1" hidden="1" thickBot="1" thickTop="1">
      <c r="A7" s="22"/>
      <c r="B7" s="22"/>
      <c r="C7" s="14"/>
      <c r="D7" s="19"/>
      <c r="E7" s="14"/>
      <c r="F7" s="15"/>
      <c r="G7" s="22"/>
      <c r="H7" s="22"/>
      <c r="I7" s="15"/>
      <c r="J7" s="14"/>
      <c r="K7" s="14"/>
      <c r="L7" s="13"/>
      <c r="M7" s="24"/>
      <c r="N7" s="223"/>
      <c r="O7" s="224"/>
      <c r="P7" s="25"/>
      <c r="Q7" s="25"/>
      <c r="R7" s="26"/>
    </row>
    <row r="8" spans="1:18" s="10" customFormat="1" ht="16.5" customHeight="1" thickBot="1" thickTop="1">
      <c r="A8" s="23" t="s">
        <v>10</v>
      </c>
      <c r="B8" s="23">
        <f>horaire1match</f>
        <v>0.3958333333333333</v>
      </c>
      <c r="C8" s="136">
        <v>1</v>
      </c>
      <c r="D8" s="162" t="str">
        <f>PA1</f>
        <v>PONTOISE/ASNIERES</v>
      </c>
      <c r="E8" s="136" t="s">
        <v>11</v>
      </c>
      <c r="F8" s="15"/>
      <c r="G8" s="22"/>
      <c r="H8" s="22"/>
      <c r="I8" s="15"/>
      <c r="J8" s="136" t="s">
        <v>12</v>
      </c>
      <c r="K8" s="162" t="str">
        <f>PA5</f>
        <v>HYERES</v>
      </c>
      <c r="L8" s="15"/>
      <c r="M8" s="168"/>
      <c r="N8" s="168"/>
      <c r="O8" s="168"/>
      <c r="P8" s="27"/>
      <c r="Q8" s="28"/>
      <c r="R8" s="29"/>
    </row>
    <row r="9" spans="1:18" s="10" customFormat="1" ht="16.5" customHeight="1" thickBot="1" thickTop="1">
      <c r="A9" s="23" t="s">
        <v>10</v>
      </c>
      <c r="B9" s="23">
        <f aca="true" t="shared" si="0" ref="B9:B42">IF(G8="f",B8,IF(H8="f",B8,B8+durée1))</f>
        <v>0.40902777777777777</v>
      </c>
      <c r="C9" s="136">
        <f>C8+1</f>
        <v>2</v>
      </c>
      <c r="D9" s="162" t="str">
        <f>PB2</f>
        <v>PONTIVY/LA BERNERIE</v>
      </c>
      <c r="E9" s="136" t="s">
        <v>13</v>
      </c>
      <c r="F9" s="15"/>
      <c r="G9" s="22"/>
      <c r="H9" s="22"/>
      <c r="I9" s="15"/>
      <c r="J9" s="136" t="s">
        <v>16</v>
      </c>
      <c r="K9" s="162" t="str">
        <f>PB6</f>
        <v>LE CHESNAY/CLAMART</v>
      </c>
      <c r="L9" s="15"/>
      <c r="M9" s="168"/>
      <c r="N9" s="168"/>
      <c r="O9" s="168"/>
      <c r="P9" s="30"/>
      <c r="Q9" s="31"/>
      <c r="R9" s="32"/>
    </row>
    <row r="10" spans="1:18" s="10" customFormat="1" ht="16.5" customHeight="1" thickBot="1" thickTop="1">
      <c r="A10" s="23" t="s">
        <v>10</v>
      </c>
      <c r="B10" s="23">
        <f t="shared" si="0"/>
        <v>0.4222222222222222</v>
      </c>
      <c r="C10" s="136">
        <f aca="true" t="shared" si="1" ref="C10:C41">C9+1</f>
        <v>3</v>
      </c>
      <c r="D10" s="162" t="str">
        <f>PC3</f>
        <v>LAGNY 1</v>
      </c>
      <c r="E10" s="136" t="s">
        <v>14</v>
      </c>
      <c r="F10" s="15"/>
      <c r="G10" s="22"/>
      <c r="H10" s="22"/>
      <c r="I10" s="15"/>
      <c r="J10" s="136" t="s">
        <v>17</v>
      </c>
      <c r="K10" s="162" t="str">
        <f>PC7</f>
        <v>MOIRANS/LE PUY</v>
      </c>
      <c r="L10" s="15"/>
      <c r="M10" s="168"/>
      <c r="N10" s="168"/>
      <c r="O10" s="168"/>
      <c r="P10" s="30"/>
      <c r="Q10" s="31"/>
      <c r="R10" s="32"/>
    </row>
    <row r="11" spans="1:18" s="10" customFormat="1" ht="16.5" customHeight="1" thickBot="1" thickTop="1">
      <c r="A11" s="23" t="s">
        <v>10</v>
      </c>
      <c r="B11" s="23">
        <f t="shared" si="0"/>
        <v>0.4354166666666667</v>
      </c>
      <c r="C11" s="136">
        <f t="shared" si="1"/>
        <v>4</v>
      </c>
      <c r="D11" s="162" t="str">
        <f>PD4</f>
        <v>COMPIEGNE/CORBIE/LILLE</v>
      </c>
      <c r="E11" s="136" t="s">
        <v>15</v>
      </c>
      <c r="F11" s="15"/>
      <c r="G11" s="22"/>
      <c r="H11" s="22"/>
      <c r="I11" s="15"/>
      <c r="J11" s="136" t="s">
        <v>18</v>
      </c>
      <c r="K11" s="162" t="str">
        <f>PD8</f>
        <v>NEUILLY</v>
      </c>
      <c r="L11" s="15"/>
      <c r="M11" s="168"/>
      <c r="N11" s="168"/>
      <c r="O11" s="168"/>
      <c r="P11" s="33"/>
      <c r="Q11" s="31"/>
      <c r="R11" s="32"/>
    </row>
    <row r="12" spans="1:18" s="10" customFormat="1" ht="16.5" customHeight="1" thickBot="1" thickTop="1">
      <c r="A12" s="23" t="s">
        <v>10</v>
      </c>
      <c r="B12" s="23">
        <f t="shared" si="0"/>
        <v>0.4486111111111111</v>
      </c>
      <c r="C12" s="136">
        <f t="shared" si="1"/>
        <v>5</v>
      </c>
      <c r="D12" s="162" t="str">
        <f>PA9</f>
        <v>LAGNY 2</v>
      </c>
      <c r="E12" s="136" t="s">
        <v>19</v>
      </c>
      <c r="F12" s="15"/>
      <c r="G12" s="22"/>
      <c r="H12" s="22"/>
      <c r="I12" s="15"/>
      <c r="J12" s="136" t="s">
        <v>68</v>
      </c>
      <c r="K12" s="162" t="str">
        <f>pa13</f>
        <v>STRASBOURG</v>
      </c>
      <c r="L12" s="15"/>
      <c r="M12" s="168"/>
      <c r="N12" s="168"/>
      <c r="O12" s="168"/>
      <c r="P12" s="33"/>
      <c r="Q12" s="31"/>
      <c r="R12" s="32"/>
    </row>
    <row r="13" spans="1:18" s="10" customFormat="1" ht="16.5" customHeight="1" thickBot="1" thickTop="1">
      <c r="A13" s="23" t="s">
        <v>10</v>
      </c>
      <c r="B13" s="23">
        <f t="shared" si="0"/>
        <v>0.4618055555555556</v>
      </c>
      <c r="C13" s="136">
        <f t="shared" si="1"/>
        <v>6</v>
      </c>
      <c r="D13" s="162" t="str">
        <f>PB10</f>
        <v>MULHOUSE</v>
      </c>
      <c r="E13" s="136" t="s">
        <v>20</v>
      </c>
      <c r="F13" s="15"/>
      <c r="G13" s="22"/>
      <c r="H13" s="22"/>
      <c r="I13" s="15"/>
      <c r="J13" s="136" t="s">
        <v>69</v>
      </c>
      <c r="K13" s="162" t="str">
        <f>PB14</f>
        <v>PESSAC 2</v>
      </c>
      <c r="L13" s="15"/>
      <c r="M13" s="168"/>
      <c r="N13" s="168"/>
      <c r="O13" s="168"/>
      <c r="P13" s="33"/>
      <c r="Q13" s="31"/>
      <c r="R13" s="32"/>
    </row>
    <row r="14" spans="1:18" s="10" customFormat="1" ht="16.5" customHeight="1" thickBot="1" thickTop="1">
      <c r="A14" s="23" t="s">
        <v>10</v>
      </c>
      <c r="B14" s="23">
        <f t="shared" si="0"/>
        <v>0.47500000000000003</v>
      </c>
      <c r="C14" s="136">
        <f t="shared" si="1"/>
        <v>7</v>
      </c>
      <c r="D14" s="162" t="str">
        <f>PC11</f>
        <v>RENNES</v>
      </c>
      <c r="E14" s="136" t="s">
        <v>21</v>
      </c>
      <c r="F14" s="15"/>
      <c r="G14" s="22"/>
      <c r="H14" s="22"/>
      <c r="I14" s="15"/>
      <c r="J14" s="136" t="s">
        <v>74</v>
      </c>
      <c r="K14" s="162" t="str">
        <f>PC15</f>
        <v>LA ROCHELLE/ST ASTIER</v>
      </c>
      <c r="L14" s="15"/>
      <c r="M14" s="168"/>
      <c r="N14" s="168"/>
      <c r="O14" s="168"/>
      <c r="P14" s="33"/>
      <c r="Q14" s="31"/>
      <c r="R14" s="32"/>
    </row>
    <row r="15" spans="1:18" s="10" customFormat="1" ht="16.5" customHeight="1" thickBot="1" thickTop="1">
      <c r="A15" s="23" t="s">
        <v>10</v>
      </c>
      <c r="B15" s="23">
        <f t="shared" si="0"/>
        <v>0.4881944444444445</v>
      </c>
      <c r="C15" s="136">
        <f t="shared" si="1"/>
        <v>8</v>
      </c>
      <c r="D15" s="162" t="str">
        <f>PD12</f>
        <v>PESSAC 1</v>
      </c>
      <c r="E15" s="136" t="s">
        <v>22</v>
      </c>
      <c r="F15" s="15"/>
      <c r="G15" s="22">
        <v>0</v>
      </c>
      <c r="H15" s="22" t="s">
        <v>187</v>
      </c>
      <c r="I15" s="15"/>
      <c r="J15" s="136" t="s">
        <v>75</v>
      </c>
      <c r="K15" s="162" t="str">
        <f>PD16</f>
        <v>FORFAIT</v>
      </c>
      <c r="L15" s="15"/>
      <c r="M15" s="168"/>
      <c r="N15" s="168"/>
      <c r="O15" s="168"/>
      <c r="P15" s="33"/>
      <c r="Q15" s="31"/>
      <c r="R15" s="32"/>
    </row>
    <row r="16" spans="1:18" s="10" customFormat="1" ht="16.5" customHeight="1" thickBot="1" thickTop="1">
      <c r="A16" s="23" t="s">
        <v>10</v>
      </c>
      <c r="B16" s="23">
        <f t="shared" si="0"/>
        <v>0.4881944444444445</v>
      </c>
      <c r="C16" s="136">
        <f t="shared" si="1"/>
        <v>9</v>
      </c>
      <c r="D16" s="162" t="str">
        <f>PA5</f>
        <v>HYERES</v>
      </c>
      <c r="E16" s="136" t="s">
        <v>12</v>
      </c>
      <c r="F16" s="15"/>
      <c r="G16" s="22"/>
      <c r="H16" s="22"/>
      <c r="I16" s="15"/>
      <c r="J16" s="136" t="s">
        <v>68</v>
      </c>
      <c r="K16" s="162" t="str">
        <f>pa13</f>
        <v>STRASBOURG</v>
      </c>
      <c r="L16" s="15"/>
      <c r="M16" s="168"/>
      <c r="N16" s="168"/>
      <c r="O16" s="168"/>
      <c r="P16" s="33"/>
      <c r="Q16" s="31"/>
      <c r="R16" s="32"/>
    </row>
    <row r="17" spans="1:18" s="10" customFormat="1" ht="16.5" customHeight="1" thickBot="1" thickTop="1">
      <c r="A17" s="23" t="s">
        <v>10</v>
      </c>
      <c r="B17" s="23">
        <f t="shared" si="0"/>
        <v>0.5013888888888889</v>
      </c>
      <c r="C17" s="136">
        <f t="shared" si="1"/>
        <v>10</v>
      </c>
      <c r="D17" s="162" t="str">
        <f>PB6</f>
        <v>LE CHESNAY/CLAMART</v>
      </c>
      <c r="E17" s="136" t="s">
        <v>16</v>
      </c>
      <c r="F17" s="15"/>
      <c r="G17" s="22"/>
      <c r="H17" s="22"/>
      <c r="I17" s="15"/>
      <c r="J17" s="136" t="s">
        <v>69</v>
      </c>
      <c r="K17" s="162" t="str">
        <f>PB14</f>
        <v>PESSAC 2</v>
      </c>
      <c r="L17" s="15"/>
      <c r="M17" s="168"/>
      <c r="N17" s="168"/>
      <c r="O17" s="168"/>
      <c r="P17" s="33"/>
      <c r="Q17" s="31"/>
      <c r="R17" s="32"/>
    </row>
    <row r="18" spans="1:18" s="10" customFormat="1" ht="16.5" customHeight="1" thickBot="1" thickTop="1">
      <c r="A18" s="23" t="s">
        <v>10</v>
      </c>
      <c r="B18" s="23">
        <f t="shared" si="0"/>
        <v>0.5145833333333333</v>
      </c>
      <c r="C18" s="136">
        <f t="shared" si="1"/>
        <v>11</v>
      </c>
      <c r="D18" s="162" t="str">
        <f>PC7</f>
        <v>MOIRANS/LE PUY</v>
      </c>
      <c r="E18" s="136" t="s">
        <v>17</v>
      </c>
      <c r="F18" s="15"/>
      <c r="G18" s="22"/>
      <c r="H18" s="22"/>
      <c r="I18" s="15"/>
      <c r="J18" s="136" t="s">
        <v>74</v>
      </c>
      <c r="K18" s="162" t="str">
        <f>PC15</f>
        <v>LA ROCHELLE/ST ASTIER</v>
      </c>
      <c r="L18" s="15"/>
      <c r="M18" s="168"/>
      <c r="N18" s="168"/>
      <c r="O18" s="168"/>
      <c r="P18" s="33"/>
      <c r="Q18" s="31"/>
      <c r="R18" s="32"/>
    </row>
    <row r="19" spans="1:18" s="10" customFormat="1" ht="16.5" customHeight="1" thickBot="1" thickTop="1">
      <c r="A19" s="23" t="s">
        <v>10</v>
      </c>
      <c r="B19" s="23">
        <f t="shared" si="0"/>
        <v>0.5277777777777777</v>
      </c>
      <c r="C19" s="136">
        <f t="shared" si="1"/>
        <v>12</v>
      </c>
      <c r="D19" s="162" t="str">
        <f>PD8</f>
        <v>NEUILLY</v>
      </c>
      <c r="E19" s="136" t="s">
        <v>18</v>
      </c>
      <c r="F19" s="15"/>
      <c r="G19" s="22">
        <v>0</v>
      </c>
      <c r="H19" s="22" t="s">
        <v>187</v>
      </c>
      <c r="I19" s="15"/>
      <c r="J19" s="136" t="s">
        <v>75</v>
      </c>
      <c r="K19" s="162" t="str">
        <f>PD16</f>
        <v>FORFAIT</v>
      </c>
      <c r="L19" s="15"/>
      <c r="M19" s="168"/>
      <c r="N19" s="168"/>
      <c r="O19" s="168"/>
      <c r="P19" s="33"/>
      <c r="Q19" s="31"/>
      <c r="R19" s="32"/>
    </row>
    <row r="20" spans="1:18" s="10" customFormat="1" ht="16.5" customHeight="1" thickBot="1" thickTop="1">
      <c r="A20" s="23" t="s">
        <v>10</v>
      </c>
      <c r="B20" s="23">
        <f t="shared" si="0"/>
        <v>0.5277777777777777</v>
      </c>
      <c r="C20" s="136">
        <f t="shared" si="1"/>
        <v>13</v>
      </c>
      <c r="D20" s="162" t="str">
        <f>PA1</f>
        <v>PONTOISE/ASNIERES</v>
      </c>
      <c r="E20" s="136" t="s">
        <v>11</v>
      </c>
      <c r="F20" s="15"/>
      <c r="G20" s="22"/>
      <c r="H20" s="22"/>
      <c r="I20" s="15"/>
      <c r="J20" s="136" t="s">
        <v>19</v>
      </c>
      <c r="K20" s="162" t="str">
        <f>PA9</f>
        <v>LAGNY 2</v>
      </c>
      <c r="L20" s="15"/>
      <c r="M20" s="168"/>
      <c r="N20" s="168"/>
      <c r="O20" s="168"/>
      <c r="P20" s="30"/>
      <c r="Q20" s="31"/>
      <c r="R20" s="32"/>
    </row>
    <row r="21" spans="1:18" s="10" customFormat="1" ht="16.5" customHeight="1" thickBot="1" thickTop="1">
      <c r="A21" s="23" t="s">
        <v>10</v>
      </c>
      <c r="B21" s="23">
        <f t="shared" si="0"/>
        <v>0.5409722222222221</v>
      </c>
      <c r="C21" s="136">
        <f t="shared" si="1"/>
        <v>14</v>
      </c>
      <c r="D21" s="162" t="str">
        <f>PB2</f>
        <v>PONTIVY/LA BERNERIE</v>
      </c>
      <c r="E21" s="136" t="s">
        <v>13</v>
      </c>
      <c r="F21" s="15"/>
      <c r="G21" s="22"/>
      <c r="H21" s="22"/>
      <c r="I21" s="15"/>
      <c r="J21" s="136" t="s">
        <v>20</v>
      </c>
      <c r="K21" s="162" t="str">
        <f>PB10</f>
        <v>MULHOUSE</v>
      </c>
      <c r="L21" s="15"/>
      <c r="M21" s="168"/>
      <c r="N21" s="168"/>
      <c r="O21" s="168"/>
      <c r="P21" s="30"/>
      <c r="Q21" s="31"/>
      <c r="R21" s="32"/>
    </row>
    <row r="22" spans="1:18" s="10" customFormat="1" ht="16.5" customHeight="1" thickBot="1" thickTop="1">
      <c r="A22" s="23" t="s">
        <v>10</v>
      </c>
      <c r="B22" s="23">
        <f t="shared" si="0"/>
        <v>0.5541666666666665</v>
      </c>
      <c r="C22" s="136">
        <f t="shared" si="1"/>
        <v>15</v>
      </c>
      <c r="D22" s="162" t="str">
        <f>PC3</f>
        <v>LAGNY 1</v>
      </c>
      <c r="E22" s="136" t="s">
        <v>14</v>
      </c>
      <c r="F22" s="15"/>
      <c r="G22" s="22"/>
      <c r="H22" s="22"/>
      <c r="I22" s="15"/>
      <c r="J22" s="136" t="s">
        <v>21</v>
      </c>
      <c r="K22" s="162" t="str">
        <f>PC11</f>
        <v>RENNES</v>
      </c>
      <c r="L22" s="15"/>
      <c r="M22" s="168"/>
      <c r="N22" s="168"/>
      <c r="O22" s="168"/>
      <c r="P22" s="30"/>
      <c r="Q22" s="31"/>
      <c r="R22" s="32"/>
    </row>
    <row r="23" spans="1:18" s="10" customFormat="1" ht="16.5" customHeight="1" thickBot="1" thickTop="1">
      <c r="A23" s="23" t="s">
        <v>10</v>
      </c>
      <c r="B23" s="23">
        <f t="shared" si="0"/>
        <v>0.5673611111111109</v>
      </c>
      <c r="C23" s="136">
        <f t="shared" si="1"/>
        <v>16</v>
      </c>
      <c r="D23" s="162" t="str">
        <f>PD4</f>
        <v>COMPIEGNE/CORBIE/LILLE</v>
      </c>
      <c r="E23" s="136" t="s">
        <v>15</v>
      </c>
      <c r="F23" s="15"/>
      <c r="G23" s="22"/>
      <c r="H23" s="22"/>
      <c r="I23" s="15"/>
      <c r="J23" s="136" t="s">
        <v>22</v>
      </c>
      <c r="K23" s="162" t="str">
        <f>PD12</f>
        <v>PESSAC 1</v>
      </c>
      <c r="L23" s="15"/>
      <c r="M23" s="168"/>
      <c r="N23" s="168"/>
      <c r="O23" s="168"/>
      <c r="P23" s="30"/>
      <c r="Q23" s="31"/>
      <c r="R23" s="32"/>
    </row>
    <row r="24" spans="1:18" s="10" customFormat="1" ht="16.5" customHeight="1" thickBot="1" thickTop="1">
      <c r="A24" s="23" t="s">
        <v>10</v>
      </c>
      <c r="B24" s="23">
        <f t="shared" si="0"/>
        <v>0.5805555555555553</v>
      </c>
      <c r="C24" s="136">
        <f t="shared" si="1"/>
        <v>17</v>
      </c>
      <c r="D24" s="162" t="str">
        <f>PA5</f>
        <v>HYERES</v>
      </c>
      <c r="E24" s="136" t="s">
        <v>12</v>
      </c>
      <c r="F24" s="15"/>
      <c r="G24" s="22"/>
      <c r="H24" s="22"/>
      <c r="I24" s="15"/>
      <c r="J24" s="136" t="s">
        <v>19</v>
      </c>
      <c r="K24" s="162" t="str">
        <f>PA9</f>
        <v>LAGNY 2</v>
      </c>
      <c r="L24" s="15"/>
      <c r="M24" s="168"/>
      <c r="N24" s="168"/>
      <c r="O24" s="168"/>
      <c r="P24" s="30"/>
      <c r="Q24" s="31"/>
      <c r="R24" s="32"/>
    </row>
    <row r="25" spans="1:18" s="10" customFormat="1" ht="16.5" customHeight="1" thickBot="1" thickTop="1">
      <c r="A25" s="23" t="s">
        <v>10</v>
      </c>
      <c r="B25" s="23">
        <f t="shared" si="0"/>
        <v>0.5937499999999997</v>
      </c>
      <c r="C25" s="136">
        <f t="shared" si="1"/>
        <v>18</v>
      </c>
      <c r="D25" s="162" t="str">
        <f>PB6</f>
        <v>LE CHESNAY/CLAMART</v>
      </c>
      <c r="E25" s="136" t="s">
        <v>16</v>
      </c>
      <c r="F25" s="15"/>
      <c r="G25" s="22"/>
      <c r="H25" s="22"/>
      <c r="I25" s="15"/>
      <c r="J25" s="136" t="s">
        <v>20</v>
      </c>
      <c r="K25" s="162" t="str">
        <f>PB10</f>
        <v>MULHOUSE</v>
      </c>
      <c r="L25" s="15"/>
      <c r="M25" s="168"/>
      <c r="N25" s="168"/>
      <c r="O25" s="168"/>
      <c r="P25" s="30"/>
      <c r="Q25" s="31"/>
      <c r="R25" s="32"/>
    </row>
    <row r="26" spans="1:18" s="10" customFormat="1" ht="16.5" customHeight="1" thickBot="1" thickTop="1">
      <c r="A26" s="23" t="s">
        <v>10</v>
      </c>
      <c r="B26" s="23">
        <f t="shared" si="0"/>
        <v>0.6069444444444441</v>
      </c>
      <c r="C26" s="136">
        <f t="shared" si="1"/>
        <v>19</v>
      </c>
      <c r="D26" s="162" t="str">
        <f>PC7</f>
        <v>MOIRANS/LE PUY</v>
      </c>
      <c r="E26" s="136" t="s">
        <v>17</v>
      </c>
      <c r="F26" s="15"/>
      <c r="G26" s="22"/>
      <c r="H26" s="22"/>
      <c r="I26" s="15"/>
      <c r="J26" s="136" t="s">
        <v>21</v>
      </c>
      <c r="K26" s="162" t="str">
        <f>PC11</f>
        <v>RENNES</v>
      </c>
      <c r="L26" s="15"/>
      <c r="M26" s="168"/>
      <c r="N26" s="168"/>
      <c r="O26" s="168"/>
      <c r="P26" s="30"/>
      <c r="Q26" s="31"/>
      <c r="R26" s="32"/>
    </row>
    <row r="27" spans="1:18" s="10" customFormat="1" ht="16.5" customHeight="1" thickBot="1" thickTop="1">
      <c r="A27" s="23" t="s">
        <v>10</v>
      </c>
      <c r="B27" s="23">
        <f t="shared" si="0"/>
        <v>0.6201388888888885</v>
      </c>
      <c r="C27" s="136">
        <f t="shared" si="1"/>
        <v>20</v>
      </c>
      <c r="D27" s="162" t="str">
        <f>PD8</f>
        <v>NEUILLY</v>
      </c>
      <c r="E27" s="136" t="s">
        <v>18</v>
      </c>
      <c r="F27" s="15"/>
      <c r="G27" s="22"/>
      <c r="H27" s="22"/>
      <c r="I27" s="15"/>
      <c r="J27" s="136" t="s">
        <v>22</v>
      </c>
      <c r="K27" s="162" t="str">
        <f>PD12</f>
        <v>PESSAC 1</v>
      </c>
      <c r="L27" s="15"/>
      <c r="M27" s="168"/>
      <c r="N27" s="168"/>
      <c r="O27" s="168"/>
      <c r="P27" s="30"/>
      <c r="Q27" s="31"/>
      <c r="R27" s="32"/>
    </row>
    <row r="28" spans="1:18" s="10" customFormat="1" ht="16.5" customHeight="1" thickBot="1" thickTop="1">
      <c r="A28" s="23" t="s">
        <v>10</v>
      </c>
      <c r="B28" s="23">
        <f>IF(G27="f",B27,IF(H27="f",B27,B27+durée1))</f>
        <v>0.6333333333333329</v>
      </c>
      <c r="C28" s="136">
        <f t="shared" si="1"/>
        <v>21</v>
      </c>
      <c r="D28" s="162" t="str">
        <f>pa13</f>
        <v>STRASBOURG</v>
      </c>
      <c r="E28" s="136" t="s">
        <v>68</v>
      </c>
      <c r="F28" s="15"/>
      <c r="G28" s="22"/>
      <c r="H28" s="22"/>
      <c r="I28" s="15"/>
      <c r="J28" s="136" t="s">
        <v>166</v>
      </c>
      <c r="K28" s="162" t="str">
        <f>PA1</f>
        <v>PONTOISE/ASNIERES</v>
      </c>
      <c r="L28" s="15"/>
      <c r="M28" s="168"/>
      <c r="N28" s="168"/>
      <c r="O28" s="168"/>
      <c r="P28" s="30"/>
      <c r="Q28" s="31"/>
      <c r="R28" s="32"/>
    </row>
    <row r="29" spans="1:18" s="10" customFormat="1" ht="16.5" customHeight="1" thickBot="1" thickTop="1">
      <c r="A29" s="23" t="s">
        <v>10</v>
      </c>
      <c r="B29" s="23">
        <f>IF(G28="f",B28,IF(H28="f",B28,B28+durée1))</f>
        <v>0.6465277777777773</v>
      </c>
      <c r="C29" s="136">
        <f t="shared" si="1"/>
        <v>22</v>
      </c>
      <c r="D29" s="162" t="str">
        <f>PB14</f>
        <v>PESSAC 2</v>
      </c>
      <c r="E29" s="136" t="s">
        <v>69</v>
      </c>
      <c r="F29" s="15"/>
      <c r="G29" s="22"/>
      <c r="H29" s="22"/>
      <c r="I29" s="15"/>
      <c r="J29" s="136" t="s">
        <v>13</v>
      </c>
      <c r="K29" s="162" t="str">
        <f>PB2</f>
        <v>PONTIVY/LA BERNERIE</v>
      </c>
      <c r="L29" s="15"/>
      <c r="M29" s="168"/>
      <c r="N29" s="168"/>
      <c r="O29" s="168"/>
      <c r="P29" s="30"/>
      <c r="Q29" s="31"/>
      <c r="R29" s="32"/>
    </row>
    <row r="30" spans="1:18" s="10" customFormat="1" ht="16.5" customHeight="1" thickBot="1" thickTop="1">
      <c r="A30" s="23" t="s">
        <v>10</v>
      </c>
      <c r="B30" s="23">
        <f t="shared" si="0"/>
        <v>0.6597222222222217</v>
      </c>
      <c r="C30" s="136">
        <f t="shared" si="1"/>
        <v>23</v>
      </c>
      <c r="D30" s="162" t="str">
        <f>PC15</f>
        <v>LA ROCHELLE/ST ASTIER</v>
      </c>
      <c r="E30" s="136" t="s">
        <v>74</v>
      </c>
      <c r="F30" s="15"/>
      <c r="G30" s="22"/>
      <c r="H30" s="22"/>
      <c r="I30" s="15"/>
      <c r="J30" s="136" t="s">
        <v>14</v>
      </c>
      <c r="K30" s="162" t="str">
        <f>PC3</f>
        <v>LAGNY 1</v>
      </c>
      <c r="L30" s="15"/>
      <c r="M30" s="168"/>
      <c r="N30" s="168"/>
      <c r="O30" s="168"/>
      <c r="P30" s="30"/>
      <c r="Q30" s="31"/>
      <c r="R30" s="32"/>
    </row>
    <row r="31" spans="1:18" s="10" customFormat="1" ht="16.5" customHeight="1" thickBot="1" thickTop="1">
      <c r="A31" s="23" t="s">
        <v>10</v>
      </c>
      <c r="B31" s="23">
        <f t="shared" si="0"/>
        <v>0.672916666666666</v>
      </c>
      <c r="C31" s="136">
        <f t="shared" si="1"/>
        <v>24</v>
      </c>
      <c r="D31" s="162" t="str">
        <f>PD16</f>
        <v>FORFAIT</v>
      </c>
      <c r="E31" s="136" t="s">
        <v>75</v>
      </c>
      <c r="F31" s="15"/>
      <c r="G31" s="22" t="s">
        <v>187</v>
      </c>
      <c r="H31" s="22">
        <v>0</v>
      </c>
      <c r="I31" s="15"/>
      <c r="J31" s="136" t="s">
        <v>15</v>
      </c>
      <c r="K31" s="162" t="str">
        <f>PD4</f>
        <v>COMPIEGNE/CORBIE/LILLE</v>
      </c>
      <c r="L31" s="15"/>
      <c r="M31" s="168"/>
      <c r="N31" s="168"/>
      <c r="O31" s="168"/>
      <c r="P31" s="30"/>
      <c r="Q31" s="31"/>
      <c r="R31" s="32"/>
    </row>
    <row r="32" spans="1:18" s="10" customFormat="1" ht="16.5" customHeight="1" thickBot="1" thickTop="1">
      <c r="A32" s="23" t="s">
        <v>10</v>
      </c>
      <c r="B32" s="23">
        <f t="shared" si="0"/>
        <v>0.672916666666666</v>
      </c>
      <c r="C32" s="20">
        <f>C31+1</f>
        <v>25</v>
      </c>
      <c r="D32" s="163">
        <f>X2A</f>
      </c>
      <c r="E32" s="103" t="s">
        <v>24</v>
      </c>
      <c r="F32" s="104"/>
      <c r="G32" s="22"/>
      <c r="H32" s="22"/>
      <c r="I32" s="104"/>
      <c r="J32" s="103" t="s">
        <v>27</v>
      </c>
      <c r="K32" s="163">
        <f>X2B</f>
      </c>
      <c r="L32" s="15"/>
      <c r="M32" s="168"/>
      <c r="N32" s="168"/>
      <c r="O32" s="168"/>
      <c r="P32" s="30"/>
      <c r="Q32" s="31"/>
      <c r="R32" s="32"/>
    </row>
    <row r="33" spans="1:18" s="10" customFormat="1" ht="16.5" customHeight="1" thickBot="1" thickTop="1">
      <c r="A33" s="23" t="s">
        <v>10</v>
      </c>
      <c r="B33" s="23">
        <f t="shared" si="0"/>
        <v>0.6861111111111104</v>
      </c>
      <c r="C33" s="20">
        <f t="shared" si="1"/>
        <v>26</v>
      </c>
      <c r="D33" s="163">
        <f>Y2C</f>
      </c>
      <c r="E33" s="103" t="s">
        <v>26</v>
      </c>
      <c r="F33" s="104"/>
      <c r="G33" s="22"/>
      <c r="H33" s="22"/>
      <c r="I33" s="104"/>
      <c r="J33" s="103" t="s">
        <v>29</v>
      </c>
      <c r="K33" s="163">
        <f>Y2D</f>
      </c>
      <c r="L33" s="15"/>
      <c r="M33" s="168"/>
      <c r="N33" s="168"/>
      <c r="O33" s="168"/>
      <c r="P33" s="30"/>
      <c r="Q33" s="31"/>
      <c r="R33" s="32"/>
    </row>
    <row r="34" spans="1:18" s="10" customFormat="1" ht="16.5" customHeight="1" thickBot="1" thickTop="1">
      <c r="A34" s="23" t="s">
        <v>10</v>
      </c>
      <c r="B34" s="23">
        <f t="shared" si="0"/>
        <v>0.6993055555555548</v>
      </c>
      <c r="C34" s="20">
        <f t="shared" si="1"/>
        <v>27</v>
      </c>
      <c r="D34" s="163">
        <f>X1A</f>
      </c>
      <c r="E34" s="103" t="s">
        <v>23</v>
      </c>
      <c r="F34" s="104"/>
      <c r="G34" s="22"/>
      <c r="H34" s="22"/>
      <c r="I34" s="104"/>
      <c r="J34" s="103" t="s">
        <v>28</v>
      </c>
      <c r="K34" s="164">
        <f>X1B</f>
      </c>
      <c r="L34" s="15"/>
      <c r="M34" s="168"/>
      <c r="N34" s="168"/>
      <c r="O34" s="168"/>
      <c r="P34" s="30"/>
      <c r="Q34" s="31"/>
      <c r="R34" s="32"/>
    </row>
    <row r="35" spans="1:18" s="10" customFormat="1" ht="16.5" customHeight="1" thickBot="1" thickTop="1">
      <c r="A35" s="156" t="s">
        <v>10</v>
      </c>
      <c r="B35" s="23">
        <f t="shared" si="0"/>
        <v>0.7124999999999992</v>
      </c>
      <c r="C35" s="157">
        <f t="shared" si="1"/>
        <v>28</v>
      </c>
      <c r="D35" s="164">
        <f>Y1C</f>
      </c>
      <c r="E35" s="155" t="s">
        <v>25</v>
      </c>
      <c r="F35" s="104"/>
      <c r="G35" s="22"/>
      <c r="H35" s="22"/>
      <c r="I35" s="104"/>
      <c r="J35" s="155" t="s">
        <v>30</v>
      </c>
      <c r="K35" s="164">
        <f>Y1D</f>
      </c>
      <c r="L35" s="15"/>
      <c r="M35" s="243"/>
      <c r="N35" s="243"/>
      <c r="O35" s="168"/>
      <c r="P35" s="30"/>
      <c r="Q35" s="31"/>
      <c r="R35" s="32"/>
    </row>
    <row r="36" spans="1:18" s="10" customFormat="1" ht="16.5" customHeight="1" thickBot="1" thickTop="1">
      <c r="A36" s="23" t="s">
        <v>10</v>
      </c>
      <c r="B36" s="23">
        <f t="shared" si="0"/>
        <v>0.7256944444444436</v>
      </c>
      <c r="C36" s="20">
        <f t="shared" si="1"/>
        <v>29</v>
      </c>
      <c r="D36" s="164">
        <f>V4A</f>
      </c>
      <c r="E36" s="103" t="s">
        <v>80</v>
      </c>
      <c r="F36" s="104"/>
      <c r="G36" s="22"/>
      <c r="H36" s="22"/>
      <c r="I36" s="104"/>
      <c r="J36" s="103" t="s">
        <v>81</v>
      </c>
      <c r="K36" s="164">
        <f>V4B</f>
      </c>
      <c r="L36" s="15"/>
      <c r="M36" s="168"/>
      <c r="N36" s="168"/>
      <c r="O36" s="168"/>
      <c r="P36" s="30"/>
      <c r="Q36" s="31"/>
      <c r="R36" s="32"/>
    </row>
    <row r="37" spans="1:18" s="10" customFormat="1" ht="16.5" customHeight="1" thickBot="1" thickTop="1">
      <c r="A37" s="156" t="s">
        <v>10</v>
      </c>
      <c r="B37" s="23">
        <f t="shared" si="0"/>
        <v>0.738888888888888</v>
      </c>
      <c r="C37" s="157">
        <f t="shared" si="1"/>
        <v>30</v>
      </c>
      <c r="D37" s="164">
        <f>W4C</f>
      </c>
      <c r="E37" s="155" t="s">
        <v>82</v>
      </c>
      <c r="F37" s="158"/>
      <c r="G37" s="22">
        <v>0</v>
      </c>
      <c r="H37" s="22" t="s">
        <v>187</v>
      </c>
      <c r="I37" s="158"/>
      <c r="J37" s="155" t="s">
        <v>83</v>
      </c>
      <c r="K37" s="164">
        <f>W4D</f>
      </c>
      <c r="L37" s="159"/>
      <c r="M37" s="168"/>
      <c r="N37" s="168"/>
      <c r="O37" s="168"/>
      <c r="P37" s="30"/>
      <c r="Q37" s="31"/>
      <c r="R37" s="32"/>
    </row>
    <row r="38" spans="1:18" s="10" customFormat="1" ht="16.5" customHeight="1" thickBot="1" thickTop="1">
      <c r="A38" s="23" t="s">
        <v>10</v>
      </c>
      <c r="B38" s="23">
        <f t="shared" si="0"/>
        <v>0.738888888888888</v>
      </c>
      <c r="C38" s="20">
        <f t="shared" si="1"/>
        <v>31</v>
      </c>
      <c r="D38" s="164">
        <f>V3A</f>
      </c>
      <c r="E38" s="103" t="s">
        <v>33</v>
      </c>
      <c r="F38" s="104"/>
      <c r="G38" s="22"/>
      <c r="H38" s="22"/>
      <c r="I38" s="104"/>
      <c r="J38" s="155" t="s">
        <v>34</v>
      </c>
      <c r="K38" s="164">
        <f>V3B</f>
      </c>
      <c r="L38" s="15"/>
      <c r="M38" s="168"/>
      <c r="N38" s="168"/>
      <c r="O38" s="168"/>
      <c r="P38" s="30"/>
      <c r="Q38" s="31"/>
      <c r="R38" s="32"/>
    </row>
    <row r="39" spans="1:18" s="10" customFormat="1" ht="16.5" customHeight="1" thickBot="1" thickTop="1">
      <c r="A39" s="161" t="s">
        <v>10</v>
      </c>
      <c r="B39" s="23">
        <f t="shared" si="0"/>
        <v>0.7520833333333324</v>
      </c>
      <c r="C39" s="157">
        <f t="shared" si="1"/>
        <v>32</v>
      </c>
      <c r="D39" s="164">
        <f>W3C</f>
      </c>
      <c r="E39" s="155" t="s">
        <v>31</v>
      </c>
      <c r="F39" s="160"/>
      <c r="G39" s="22"/>
      <c r="H39" s="22"/>
      <c r="I39" s="160"/>
      <c r="J39" s="155" t="s">
        <v>32</v>
      </c>
      <c r="K39" s="164">
        <f>W3D</f>
      </c>
      <c r="L39" s="159"/>
      <c r="M39" s="168"/>
      <c r="N39" s="168"/>
      <c r="O39" s="168"/>
      <c r="P39" s="30"/>
      <c r="Q39" s="31"/>
      <c r="R39" s="32"/>
    </row>
    <row r="40" spans="1:18" s="10" customFormat="1" ht="16.5" customHeight="1" thickBot="1" thickTop="1">
      <c r="A40" s="161" t="s">
        <v>10</v>
      </c>
      <c r="B40" s="23">
        <f t="shared" si="0"/>
        <v>0.7652777777777768</v>
      </c>
      <c r="C40" s="157">
        <f t="shared" si="1"/>
        <v>33</v>
      </c>
      <c r="D40" s="164">
        <f>X2A</f>
      </c>
      <c r="E40" s="155" t="s">
        <v>24</v>
      </c>
      <c r="F40" s="104"/>
      <c r="G40" s="22"/>
      <c r="H40" s="22"/>
      <c r="I40" s="104"/>
      <c r="J40" s="155" t="s">
        <v>28</v>
      </c>
      <c r="K40" s="164">
        <f>X1B</f>
      </c>
      <c r="L40" s="15"/>
      <c r="M40" s="168"/>
      <c r="N40" s="168"/>
      <c r="O40" s="168"/>
      <c r="P40" s="30"/>
      <c r="Q40" s="31"/>
      <c r="R40" s="32"/>
    </row>
    <row r="41" spans="1:18" s="10" customFormat="1" ht="16.5" customHeight="1" thickBot="1" thickTop="1">
      <c r="A41" s="161" t="s">
        <v>10</v>
      </c>
      <c r="B41" s="23">
        <f t="shared" si="0"/>
        <v>0.7784722222222212</v>
      </c>
      <c r="C41" s="157">
        <f t="shared" si="1"/>
        <v>34</v>
      </c>
      <c r="D41" s="163">
        <f>Y2C</f>
      </c>
      <c r="E41" s="155" t="s">
        <v>26</v>
      </c>
      <c r="F41" s="160"/>
      <c r="G41" s="22"/>
      <c r="H41" s="22"/>
      <c r="I41" s="160"/>
      <c r="J41" s="155" t="s">
        <v>30</v>
      </c>
      <c r="K41" s="164">
        <f>Y1D</f>
      </c>
      <c r="L41" s="15"/>
      <c r="M41" s="168"/>
      <c r="N41" s="168"/>
      <c r="O41" s="168"/>
      <c r="P41" s="30"/>
      <c r="Q41" s="31"/>
      <c r="R41" s="32"/>
    </row>
    <row r="42" spans="1:18" s="99" customFormat="1" ht="16.5" customHeight="1" thickBot="1" thickTop="1">
      <c r="A42" s="23" t="s">
        <v>10</v>
      </c>
      <c r="B42" s="23">
        <f t="shared" si="0"/>
        <v>0.7916666666666656</v>
      </c>
      <c r="C42" s="98"/>
      <c r="D42" s="165"/>
      <c r="E42" s="100"/>
      <c r="F42" s="105"/>
      <c r="G42" s="100"/>
      <c r="H42" s="100"/>
      <c r="I42" s="105"/>
      <c r="J42" s="100"/>
      <c r="K42" s="165"/>
      <c r="M42" s="218"/>
      <c r="N42" s="218"/>
      <c r="O42" s="218"/>
      <c r="P42" s="101"/>
      <c r="Q42" s="102"/>
      <c r="R42" s="102"/>
    </row>
    <row r="43" spans="1:18" s="99" customFormat="1" ht="16.5" customHeight="1" thickBot="1" thickTop="1">
      <c r="A43" s="97"/>
      <c r="B43" s="97"/>
      <c r="C43" s="98"/>
      <c r="D43" s="165"/>
      <c r="E43" s="100"/>
      <c r="F43" s="105"/>
      <c r="G43" s="100"/>
      <c r="H43" s="100"/>
      <c r="I43" s="105"/>
      <c r="J43" s="100"/>
      <c r="K43" s="165"/>
      <c r="M43" s="218"/>
      <c r="N43" s="218"/>
      <c r="O43" s="218"/>
      <c r="P43" s="101"/>
      <c r="Q43" s="102"/>
      <c r="R43" s="102"/>
    </row>
    <row r="44" spans="1:18" s="10" customFormat="1" ht="16.5" customHeight="1" thickBot="1" thickTop="1">
      <c r="A44" s="23" t="s">
        <v>8</v>
      </c>
      <c r="B44" s="23">
        <f>horairedebdim</f>
        <v>0.3333333333333333</v>
      </c>
      <c r="C44" s="20">
        <f>C41+1</f>
        <v>35</v>
      </c>
      <c r="D44" s="163">
        <f>X1A</f>
      </c>
      <c r="E44" s="103" t="s">
        <v>23</v>
      </c>
      <c r="F44" s="104"/>
      <c r="G44" s="22"/>
      <c r="H44" s="22"/>
      <c r="I44" s="104"/>
      <c r="J44" s="103" t="s">
        <v>27</v>
      </c>
      <c r="K44" s="163">
        <f>X2B</f>
      </c>
      <c r="L44" s="15"/>
      <c r="M44" s="243"/>
      <c r="N44" s="243"/>
      <c r="O44" s="168"/>
      <c r="P44" s="30"/>
      <c r="Q44" s="31"/>
      <c r="R44" s="32"/>
    </row>
    <row r="45" spans="1:18" s="10" customFormat="1" ht="16.5" customHeight="1" thickBot="1" thickTop="1">
      <c r="A45" s="23" t="s">
        <v>8</v>
      </c>
      <c r="B45" s="23">
        <f aca="true" t="shared" si="2" ref="B45:B50">IF(G44="f",B44,IF(H44="f",B44,B44+durée1))</f>
        <v>0.34652777777777777</v>
      </c>
      <c r="C45" s="20">
        <f>C44+1</f>
        <v>36</v>
      </c>
      <c r="D45" s="164">
        <f>Y1C</f>
      </c>
      <c r="E45" s="103" t="s">
        <v>25</v>
      </c>
      <c r="F45" s="104"/>
      <c r="G45" s="22"/>
      <c r="H45" s="22"/>
      <c r="I45" s="104"/>
      <c r="J45" s="103" t="s">
        <v>29</v>
      </c>
      <c r="K45" s="163">
        <f>Y2D</f>
      </c>
      <c r="L45" s="15"/>
      <c r="M45" s="243"/>
      <c r="N45" s="243"/>
      <c r="O45" s="243"/>
      <c r="P45" s="30"/>
      <c r="Q45" s="31"/>
      <c r="R45" s="32"/>
    </row>
    <row r="46" spans="1:18" s="10" customFormat="1" ht="16.5" customHeight="1" thickBot="1" thickTop="1">
      <c r="A46" s="23" t="s">
        <v>8</v>
      </c>
      <c r="B46" s="23">
        <f t="shared" si="2"/>
        <v>0.3597222222222222</v>
      </c>
      <c r="C46" s="20">
        <f aca="true" t="shared" si="3" ref="C46:C68">C45+1</f>
        <v>37</v>
      </c>
      <c r="D46" s="164">
        <f>V4A</f>
      </c>
      <c r="E46" s="103" t="s">
        <v>80</v>
      </c>
      <c r="F46" s="104"/>
      <c r="G46" s="22"/>
      <c r="H46" s="22"/>
      <c r="I46" s="104"/>
      <c r="J46" s="103" t="s">
        <v>34</v>
      </c>
      <c r="K46" s="164">
        <f>V3B</f>
      </c>
      <c r="L46" s="15"/>
      <c r="M46" s="243"/>
      <c r="N46" s="243"/>
      <c r="O46" s="243"/>
      <c r="P46" s="30"/>
      <c r="Q46" s="31"/>
      <c r="R46" s="32"/>
    </row>
    <row r="47" spans="1:18" s="10" customFormat="1" ht="16.5" customHeight="1" thickBot="1" thickTop="1">
      <c r="A47" s="23" t="s">
        <v>8</v>
      </c>
      <c r="B47" s="23">
        <f t="shared" si="2"/>
        <v>0.3729166666666667</v>
      </c>
      <c r="C47" s="20">
        <f t="shared" si="3"/>
        <v>38</v>
      </c>
      <c r="D47" s="164">
        <f>W4C</f>
      </c>
      <c r="E47" s="103" t="s">
        <v>82</v>
      </c>
      <c r="F47" s="104"/>
      <c r="G47" s="22"/>
      <c r="H47" s="22"/>
      <c r="I47" s="104"/>
      <c r="J47" s="103" t="s">
        <v>32</v>
      </c>
      <c r="K47" s="164">
        <f>W3D</f>
      </c>
      <c r="L47" s="15"/>
      <c r="M47" s="243"/>
      <c r="N47" s="243"/>
      <c r="O47" s="243"/>
      <c r="P47" s="30"/>
      <c r="Q47" s="31"/>
      <c r="R47" s="32"/>
    </row>
    <row r="48" spans="1:18" s="10" customFormat="1" ht="16.5" customHeight="1" thickBot="1" thickTop="1">
      <c r="A48" s="23" t="s">
        <v>8</v>
      </c>
      <c r="B48" s="23">
        <f t="shared" si="2"/>
        <v>0.3861111111111111</v>
      </c>
      <c r="C48" s="20">
        <f t="shared" si="3"/>
        <v>39</v>
      </c>
      <c r="D48" s="164">
        <f>V3A</f>
      </c>
      <c r="E48" s="103" t="s">
        <v>33</v>
      </c>
      <c r="F48" s="104"/>
      <c r="G48" s="22"/>
      <c r="H48" s="22"/>
      <c r="I48" s="104"/>
      <c r="J48" s="103" t="s">
        <v>81</v>
      </c>
      <c r="K48" s="164">
        <f>V4B</f>
      </c>
      <c r="L48" s="15"/>
      <c r="M48" s="243"/>
      <c r="N48" s="243"/>
      <c r="O48" s="243"/>
      <c r="P48" s="30"/>
      <c r="Q48" s="31"/>
      <c r="R48" s="32"/>
    </row>
    <row r="49" spans="1:18" s="10" customFormat="1" ht="16.5" customHeight="1" thickBot="1" thickTop="1">
      <c r="A49" s="23" t="s">
        <v>8</v>
      </c>
      <c r="B49" s="23">
        <f t="shared" si="2"/>
        <v>0.3993055555555556</v>
      </c>
      <c r="C49" s="20">
        <f t="shared" si="3"/>
        <v>40</v>
      </c>
      <c r="D49" s="164">
        <f>W3C</f>
      </c>
      <c r="E49" s="103" t="s">
        <v>31</v>
      </c>
      <c r="F49" s="104"/>
      <c r="G49" s="22">
        <v>0</v>
      </c>
      <c r="H49" s="22" t="s">
        <v>187</v>
      </c>
      <c r="I49" s="104"/>
      <c r="J49" s="103" t="s">
        <v>83</v>
      </c>
      <c r="K49" s="164">
        <f>W4D</f>
      </c>
      <c r="L49" s="15"/>
      <c r="M49" s="243"/>
      <c r="N49" s="243"/>
      <c r="O49" s="243"/>
      <c r="P49" s="30"/>
      <c r="Q49" s="31"/>
      <c r="R49" s="32"/>
    </row>
    <row r="50" spans="1:18" s="10" customFormat="1" ht="13.5" thickBot="1" thickTop="1">
      <c r="A50" s="23" t="s">
        <v>8</v>
      </c>
      <c r="B50" s="23">
        <f t="shared" si="2"/>
        <v>0.3993055555555556</v>
      </c>
      <c r="C50" s="146">
        <f t="shared" si="3"/>
        <v>41</v>
      </c>
      <c r="D50" s="166">
        <f>G3X</f>
      </c>
      <c r="E50" s="147" t="s">
        <v>36</v>
      </c>
      <c r="F50" s="104"/>
      <c r="G50" s="22"/>
      <c r="H50" s="22"/>
      <c r="I50" s="104"/>
      <c r="J50" s="147" t="s">
        <v>39</v>
      </c>
      <c r="K50" s="166">
        <f>G3Y</f>
      </c>
      <c r="L50" s="15"/>
      <c r="M50" s="243"/>
      <c r="N50" s="243"/>
      <c r="O50" s="243"/>
      <c r="P50" s="30"/>
      <c r="Q50" s="31"/>
      <c r="R50" s="32"/>
    </row>
    <row r="51" spans="1:18" s="10" customFormat="1" ht="13.5" thickBot="1" thickTop="1">
      <c r="A51" s="23" t="s">
        <v>8</v>
      </c>
      <c r="B51" s="23">
        <f aca="true" t="shared" si="4" ref="B51:B61">IF(G50="f",B50,IF(H50="f",B50,B50+durée2))</f>
        <v>0.4166666666666667</v>
      </c>
      <c r="C51" s="152">
        <f t="shared" si="3"/>
        <v>42</v>
      </c>
      <c r="D51" s="167">
        <f>H2V</f>
      </c>
      <c r="E51" s="153" t="s">
        <v>105</v>
      </c>
      <c r="F51" s="104"/>
      <c r="G51" s="22"/>
      <c r="H51" s="22"/>
      <c r="I51" s="104"/>
      <c r="J51" s="153" t="s">
        <v>107</v>
      </c>
      <c r="K51" s="167">
        <f>H2W</f>
      </c>
      <c r="L51" s="15"/>
      <c r="M51" s="243"/>
      <c r="N51" s="243"/>
      <c r="O51" s="243"/>
      <c r="P51" s="30"/>
      <c r="Q51" s="31"/>
      <c r="R51" s="32"/>
    </row>
    <row r="52" spans="1:18" s="10" customFormat="1" ht="13.5" thickBot="1" thickTop="1">
      <c r="A52" s="23" t="s">
        <v>8</v>
      </c>
      <c r="B52" s="23">
        <f t="shared" si="4"/>
        <v>0.4340277777777778</v>
      </c>
      <c r="C52" s="146">
        <f t="shared" si="3"/>
        <v>43</v>
      </c>
      <c r="D52" s="166">
        <f>G2X</f>
      </c>
      <c r="E52" s="147" t="s">
        <v>35</v>
      </c>
      <c r="F52" s="104"/>
      <c r="G52" s="22"/>
      <c r="H52" s="22"/>
      <c r="I52" s="104"/>
      <c r="J52" s="147" t="s">
        <v>40</v>
      </c>
      <c r="K52" s="166">
        <f>G2Y</f>
      </c>
      <c r="L52" s="15"/>
      <c r="M52" s="243"/>
      <c r="N52" s="243"/>
      <c r="O52" s="243"/>
      <c r="P52" s="30"/>
      <c r="Q52" s="31"/>
      <c r="R52" s="32"/>
    </row>
    <row r="53" spans="1:18" s="10" customFormat="1" ht="13.5" thickBot="1" thickTop="1">
      <c r="A53" s="23" t="s">
        <v>8</v>
      </c>
      <c r="B53" s="23">
        <f t="shared" si="4"/>
        <v>0.4513888888888889</v>
      </c>
      <c r="C53" s="152">
        <f t="shared" si="3"/>
        <v>44</v>
      </c>
      <c r="D53" s="167">
        <f>H1V</f>
      </c>
      <c r="E53" s="153" t="s">
        <v>104</v>
      </c>
      <c r="F53" s="104"/>
      <c r="G53" s="22"/>
      <c r="H53" s="22"/>
      <c r="I53" s="104"/>
      <c r="J53" s="153" t="s">
        <v>106</v>
      </c>
      <c r="K53" s="167">
        <f>H1W</f>
      </c>
      <c r="L53" s="15"/>
      <c r="M53" s="243"/>
      <c r="N53" s="243"/>
      <c r="O53" s="243"/>
      <c r="P53" s="30"/>
      <c r="Q53" s="31"/>
      <c r="R53" s="32"/>
    </row>
    <row r="54" spans="1:18" s="10" customFormat="1" ht="13.5" thickBot="1" thickTop="1">
      <c r="A54" s="23" t="s">
        <v>8</v>
      </c>
      <c r="B54" s="23">
        <f t="shared" si="4"/>
        <v>0.46875</v>
      </c>
      <c r="C54" s="152">
        <f t="shared" si="3"/>
        <v>45</v>
      </c>
      <c r="D54" s="167">
        <f>J4X</f>
      </c>
      <c r="E54" s="153" t="s">
        <v>37</v>
      </c>
      <c r="F54" s="104"/>
      <c r="G54" s="22"/>
      <c r="H54" s="22"/>
      <c r="I54" s="104"/>
      <c r="J54" s="152" t="s">
        <v>38</v>
      </c>
      <c r="K54" s="167">
        <f>J4Y</f>
      </c>
      <c r="L54" s="15"/>
      <c r="M54" s="243"/>
      <c r="N54" s="243"/>
      <c r="O54" s="243"/>
      <c r="P54" s="30"/>
      <c r="Q54" s="31"/>
      <c r="R54" s="32"/>
    </row>
    <row r="55" spans="1:18" s="10" customFormat="1" ht="13.5" thickBot="1" thickTop="1">
      <c r="A55" s="23" t="s">
        <v>8</v>
      </c>
      <c r="B55" s="23">
        <f t="shared" si="4"/>
        <v>0.4861111111111111</v>
      </c>
      <c r="C55" s="146">
        <f t="shared" si="3"/>
        <v>46</v>
      </c>
      <c r="D55" s="166">
        <f>I4V</f>
      </c>
      <c r="E55" s="147" t="s">
        <v>88</v>
      </c>
      <c r="F55" s="104"/>
      <c r="G55" s="22">
        <v>0</v>
      </c>
      <c r="H55" s="22" t="s">
        <v>187</v>
      </c>
      <c r="I55" s="104"/>
      <c r="J55" s="147" t="s">
        <v>90</v>
      </c>
      <c r="K55" s="166">
        <f>I4W</f>
      </c>
      <c r="L55" s="15"/>
      <c r="M55" s="243"/>
      <c r="N55" s="243"/>
      <c r="O55" s="243"/>
      <c r="P55" s="30"/>
      <c r="Q55" s="31"/>
      <c r="R55" s="32"/>
    </row>
    <row r="56" spans="1:18" s="10" customFormat="1" ht="15" thickBot="1" thickTop="1">
      <c r="A56" s="23" t="s">
        <v>8</v>
      </c>
      <c r="B56" s="23">
        <f t="shared" si="4"/>
        <v>0.4861111111111111</v>
      </c>
      <c r="C56" s="146">
        <f t="shared" si="3"/>
        <v>47</v>
      </c>
      <c r="D56" s="166">
        <f>I3V</f>
      </c>
      <c r="E56" s="147" t="s">
        <v>87</v>
      </c>
      <c r="F56" s="104"/>
      <c r="G56" s="22"/>
      <c r="H56" s="22"/>
      <c r="I56" s="104"/>
      <c r="J56" s="147" t="s">
        <v>89</v>
      </c>
      <c r="K56" s="166">
        <f>I3W</f>
      </c>
      <c r="L56" s="15"/>
      <c r="M56" s="243"/>
      <c r="N56" s="243"/>
      <c r="O56" s="243"/>
      <c r="P56" s="35"/>
      <c r="Q56" s="36"/>
      <c r="R56" s="34"/>
    </row>
    <row r="57" spans="1:18" s="10" customFormat="1" ht="15" thickBot="1" thickTop="1">
      <c r="A57" s="23" t="s">
        <v>8</v>
      </c>
      <c r="B57" s="23">
        <f t="shared" si="4"/>
        <v>0.5034722222222222</v>
      </c>
      <c r="C57" s="146">
        <f t="shared" si="3"/>
        <v>48</v>
      </c>
      <c r="D57" s="166">
        <f>G3X</f>
      </c>
      <c r="E57" s="147" t="s">
        <v>36</v>
      </c>
      <c r="F57" s="104"/>
      <c r="G57" s="22"/>
      <c r="H57" s="22"/>
      <c r="I57" s="104"/>
      <c r="J57" s="147" t="s">
        <v>40</v>
      </c>
      <c r="K57" s="166">
        <f>G2Y</f>
      </c>
      <c r="L57" s="15"/>
      <c r="M57" s="243"/>
      <c r="N57" s="243"/>
      <c r="O57" s="243"/>
      <c r="P57" s="35"/>
      <c r="Q57" s="36"/>
      <c r="R57" s="34"/>
    </row>
    <row r="58" spans="1:18" s="10" customFormat="1" ht="15" thickBot="1" thickTop="1">
      <c r="A58" s="23" t="s">
        <v>8</v>
      </c>
      <c r="B58" s="23">
        <f t="shared" si="4"/>
        <v>0.5208333333333334</v>
      </c>
      <c r="C58" s="152">
        <f t="shared" si="3"/>
        <v>49</v>
      </c>
      <c r="D58" s="167">
        <f>H2V</f>
      </c>
      <c r="E58" s="153" t="s">
        <v>105</v>
      </c>
      <c r="F58" s="104"/>
      <c r="G58" s="22"/>
      <c r="H58" s="22"/>
      <c r="I58" s="104"/>
      <c r="J58" s="153" t="s">
        <v>106</v>
      </c>
      <c r="K58" s="167">
        <f>H1W</f>
      </c>
      <c r="L58" s="15"/>
      <c r="M58" s="219"/>
      <c r="N58" s="220"/>
      <c r="O58" s="220"/>
      <c r="P58" s="35"/>
      <c r="Q58" s="36"/>
      <c r="R58" s="34"/>
    </row>
    <row r="59" spans="1:18" s="10" customFormat="1" ht="15" thickBot="1" thickTop="1">
      <c r="A59" s="23" t="s">
        <v>8</v>
      </c>
      <c r="B59" s="23">
        <f t="shared" si="4"/>
        <v>0.5381944444444445</v>
      </c>
      <c r="C59" s="146">
        <f t="shared" si="3"/>
        <v>50</v>
      </c>
      <c r="D59" s="166">
        <f>G2X</f>
      </c>
      <c r="E59" s="147" t="s">
        <v>35</v>
      </c>
      <c r="F59" s="104"/>
      <c r="G59" s="22"/>
      <c r="H59" s="22"/>
      <c r="I59" s="104"/>
      <c r="J59" s="147" t="s">
        <v>39</v>
      </c>
      <c r="K59" s="166">
        <f>G3Y</f>
      </c>
      <c r="L59" s="15"/>
      <c r="M59" s="219"/>
      <c r="N59" s="219"/>
      <c r="O59" s="219"/>
      <c r="P59" s="35"/>
      <c r="Q59" s="36"/>
      <c r="R59" s="34"/>
    </row>
    <row r="60" spans="1:18" s="10" customFormat="1" ht="15" thickBot="1" thickTop="1">
      <c r="A60" s="23" t="s">
        <v>8</v>
      </c>
      <c r="B60" s="23">
        <f t="shared" si="4"/>
        <v>0.5555555555555557</v>
      </c>
      <c r="C60" s="152">
        <f t="shared" si="3"/>
        <v>51</v>
      </c>
      <c r="D60" s="167">
        <f>H1V</f>
      </c>
      <c r="E60" s="153" t="s">
        <v>104</v>
      </c>
      <c r="F60" s="104"/>
      <c r="G60" s="22"/>
      <c r="H60" s="22"/>
      <c r="I60" s="104"/>
      <c r="J60" s="153" t="s">
        <v>107</v>
      </c>
      <c r="K60" s="167">
        <f>H2W</f>
      </c>
      <c r="L60" s="15"/>
      <c r="M60" s="219"/>
      <c r="N60" s="219"/>
      <c r="O60" s="219"/>
      <c r="P60" s="35"/>
      <c r="Q60" s="36"/>
      <c r="R60" s="34"/>
    </row>
    <row r="61" spans="1:18" s="10" customFormat="1" ht="15" thickBot="1" thickTop="1">
      <c r="A61" s="23" t="s">
        <v>8</v>
      </c>
      <c r="B61" s="23">
        <f t="shared" si="4"/>
        <v>0.5729166666666669</v>
      </c>
      <c r="C61" s="20">
        <f t="shared" si="3"/>
        <v>52</v>
      </c>
      <c r="D61" s="163">
        <f>F1X</f>
      </c>
      <c r="E61" s="103" t="s">
        <v>41</v>
      </c>
      <c r="F61" s="104"/>
      <c r="G61" s="22"/>
      <c r="H61" s="22"/>
      <c r="I61" s="104"/>
      <c r="J61" s="103" t="s">
        <v>48</v>
      </c>
      <c r="K61" s="163">
        <f>F2G</f>
      </c>
      <c r="L61" s="15"/>
      <c r="M61" s="219"/>
      <c r="N61" s="219"/>
      <c r="O61" s="219"/>
      <c r="P61" s="35"/>
      <c r="Q61" s="36"/>
      <c r="R61" s="34"/>
    </row>
    <row r="62" spans="1:18" s="10" customFormat="1" ht="15" thickBot="1" thickTop="1">
      <c r="A62" s="23" t="s">
        <v>8</v>
      </c>
      <c r="B62" s="23">
        <f>IF(G61="f",B61,IF(H61="f",B61,B61+durée3))</f>
        <v>0.590277777777778</v>
      </c>
      <c r="C62" s="152">
        <f t="shared" si="3"/>
        <v>53</v>
      </c>
      <c r="D62" s="167">
        <f>J1H</f>
      </c>
      <c r="E62" s="153" t="s">
        <v>103</v>
      </c>
      <c r="F62" s="104"/>
      <c r="G62" s="22"/>
      <c r="H62" s="22"/>
      <c r="I62" s="104"/>
      <c r="J62" s="152" t="s">
        <v>37</v>
      </c>
      <c r="K62" s="167">
        <f>J4X</f>
      </c>
      <c r="L62" s="15"/>
      <c r="M62" s="219"/>
      <c r="N62" s="219"/>
      <c r="O62" s="220"/>
      <c r="P62" s="35"/>
      <c r="Q62" s="36"/>
      <c r="R62" s="34"/>
    </row>
    <row r="63" spans="1:18" s="10" customFormat="1" ht="15" thickBot="1" thickTop="1">
      <c r="A63" s="23" t="s">
        <v>8</v>
      </c>
      <c r="B63" s="23">
        <f>IF(G62="f",B62,IF(H62="f",B62,B62+durée2))</f>
        <v>0.6076388888888892</v>
      </c>
      <c r="C63" s="20">
        <f t="shared" si="3"/>
        <v>54</v>
      </c>
      <c r="D63" s="163">
        <f>F1G</f>
      </c>
      <c r="E63" s="103" t="s">
        <v>47</v>
      </c>
      <c r="F63" s="104"/>
      <c r="G63" s="22"/>
      <c r="H63" s="22"/>
      <c r="I63" s="104"/>
      <c r="J63" s="103" t="s">
        <v>42</v>
      </c>
      <c r="K63" s="163">
        <f>F1Y</f>
      </c>
      <c r="L63" s="15"/>
      <c r="M63" s="219"/>
      <c r="N63" s="219"/>
      <c r="O63" s="219"/>
      <c r="P63" s="35"/>
      <c r="Q63" s="36"/>
      <c r="R63" s="34"/>
    </row>
    <row r="64" spans="1:18" s="10" customFormat="1" ht="15" thickBot="1" thickTop="1">
      <c r="A64" s="23" t="s">
        <v>8</v>
      </c>
      <c r="B64" s="23">
        <f>IF(G63="f",B63,IF(H63="f",B63,B63+durée3))</f>
        <v>0.6250000000000003</v>
      </c>
      <c r="C64" s="146">
        <f t="shared" si="3"/>
        <v>55</v>
      </c>
      <c r="D64" s="166">
        <f>I3V</f>
      </c>
      <c r="E64" s="147" t="s">
        <v>87</v>
      </c>
      <c r="F64" s="104"/>
      <c r="G64" s="22">
        <v>0</v>
      </c>
      <c r="H64" s="22" t="s">
        <v>187</v>
      </c>
      <c r="I64" s="104"/>
      <c r="J64" s="154" t="s">
        <v>90</v>
      </c>
      <c r="K64" s="166">
        <f>I4W</f>
      </c>
      <c r="L64" s="15"/>
      <c r="M64" s="221"/>
      <c r="N64" s="221"/>
      <c r="O64" s="222"/>
      <c r="P64" s="35"/>
      <c r="Q64" s="36"/>
      <c r="R64" s="34"/>
    </row>
    <row r="65" spans="1:18" s="10" customFormat="1" ht="15" thickBot="1" thickTop="1">
      <c r="A65" s="23" t="s">
        <v>8</v>
      </c>
      <c r="B65" s="23">
        <f>IF(G64="f",B64,IF(H64="f",B64,B64+durée2))</f>
        <v>0.6250000000000003</v>
      </c>
      <c r="C65" s="152">
        <f t="shared" si="3"/>
        <v>56</v>
      </c>
      <c r="D65" s="167">
        <f>J1H</f>
      </c>
      <c r="E65" s="153" t="s">
        <v>103</v>
      </c>
      <c r="F65" s="104"/>
      <c r="G65" s="22"/>
      <c r="H65" s="22"/>
      <c r="I65" s="104"/>
      <c r="J65" s="152" t="s">
        <v>38</v>
      </c>
      <c r="K65" s="167">
        <f>J4Y</f>
      </c>
      <c r="L65" s="15"/>
      <c r="M65" s="219"/>
      <c r="N65" s="220"/>
      <c r="O65" s="219"/>
      <c r="P65" s="35"/>
      <c r="Q65" s="36"/>
      <c r="R65" s="34"/>
    </row>
    <row r="66" spans="1:18" s="10" customFormat="1" ht="15" thickBot="1" thickTop="1">
      <c r="A66" s="23" t="s">
        <v>8</v>
      </c>
      <c r="B66" s="23">
        <f>IF(G65="f",B65,IF(H65="f",B65,B65+durée2))</f>
        <v>0.6423611111111115</v>
      </c>
      <c r="C66" s="146">
        <f t="shared" si="3"/>
        <v>57</v>
      </c>
      <c r="D66" s="166">
        <f>I4V</f>
      </c>
      <c r="E66" s="147" t="s">
        <v>88</v>
      </c>
      <c r="F66" s="104"/>
      <c r="G66" s="171"/>
      <c r="H66" s="22"/>
      <c r="I66" s="104"/>
      <c r="J66" s="147" t="s">
        <v>89</v>
      </c>
      <c r="K66" s="166">
        <f>I3W</f>
      </c>
      <c r="L66" s="15"/>
      <c r="M66" s="219"/>
      <c r="N66" s="219"/>
      <c r="O66" s="219"/>
      <c r="P66" s="35"/>
      <c r="Q66" s="36"/>
      <c r="R66" s="34"/>
    </row>
    <row r="67" spans="1:18" s="10" customFormat="1" ht="15" thickBot="1" thickTop="1">
      <c r="A67" s="23" t="s">
        <v>8</v>
      </c>
      <c r="B67" s="23">
        <f>IF(G66="f",B66,IF(H66="f",B66,B66+durée2))</f>
        <v>0.6597222222222227</v>
      </c>
      <c r="C67" s="20">
        <f t="shared" si="3"/>
        <v>58</v>
      </c>
      <c r="D67" s="163">
        <f>M2F1</f>
      </c>
      <c r="E67" s="103" t="s">
        <v>43</v>
      </c>
      <c r="F67" s="104"/>
      <c r="G67" s="22"/>
      <c r="H67" s="22"/>
      <c r="I67" s="104"/>
      <c r="J67" s="103" t="s">
        <v>46</v>
      </c>
      <c r="K67" s="163">
        <f>M2F2</f>
      </c>
      <c r="L67" s="15"/>
      <c r="M67" s="219"/>
      <c r="N67" s="220"/>
      <c r="O67" s="220"/>
      <c r="P67" s="35"/>
      <c r="Q67" s="36"/>
      <c r="R67" s="34"/>
    </row>
    <row r="68" spans="1:18" s="10" customFormat="1" ht="15" thickBot="1" thickTop="1">
      <c r="A68" s="23" t="s">
        <v>8</v>
      </c>
      <c r="B68" s="23">
        <f>IF(G67="f",B67,IF(H67="f",B67,B67+durée3))</f>
        <v>0.6770833333333338</v>
      </c>
      <c r="C68" s="20">
        <f t="shared" si="3"/>
        <v>59</v>
      </c>
      <c r="D68" s="163">
        <f>M1F1</f>
      </c>
      <c r="E68" s="103" t="s">
        <v>44</v>
      </c>
      <c r="F68" s="104"/>
      <c r="G68" s="171"/>
      <c r="H68" s="22"/>
      <c r="I68" s="104"/>
      <c r="J68" s="103" t="s">
        <v>45</v>
      </c>
      <c r="K68" s="163">
        <f>M1F2</f>
      </c>
      <c r="L68" s="15"/>
      <c r="M68" s="219"/>
      <c r="N68" s="219"/>
      <c r="O68" s="219"/>
      <c r="P68" s="37"/>
      <c r="Q68" s="31"/>
      <c r="R68" s="34"/>
    </row>
    <row r="69" spans="1:24" ht="13.5" thickBot="1" thickTop="1">
      <c r="A69" s="10"/>
      <c r="B69" s="23">
        <f>IF(G68="f",B68,IF(H68="f",B68,B68+durée3))</f>
        <v>0.694444444444445</v>
      </c>
      <c r="C69" s="10"/>
      <c r="D69" s="10"/>
      <c r="E69" s="10"/>
      <c r="F69" s="10"/>
      <c r="G69" s="17"/>
      <c r="H69" s="17"/>
      <c r="I69" s="10"/>
      <c r="J69" s="10"/>
      <c r="K69" s="10"/>
      <c r="L69" s="10"/>
      <c r="M69" s="16"/>
      <c r="N69" s="16"/>
      <c r="O69" s="16"/>
      <c r="P69" s="16"/>
      <c r="Q69" s="16"/>
      <c r="R69" s="16"/>
      <c r="S69" s="10"/>
      <c r="T69" s="10"/>
      <c r="U69" s="10"/>
      <c r="V69" s="10"/>
      <c r="W69" s="10"/>
      <c r="X69" s="10"/>
    </row>
    <row r="70" ht="13.5" thickTop="1"/>
  </sheetData>
  <sheetProtection/>
  <mergeCells count="10">
    <mergeCell ref="N6:O6"/>
    <mergeCell ref="E4:R4"/>
    <mergeCell ref="M5:O5"/>
    <mergeCell ref="P6:R6"/>
    <mergeCell ref="C2:J2"/>
    <mergeCell ref="K2:L2"/>
    <mergeCell ref="C3:J3"/>
    <mergeCell ref="K3:L3"/>
    <mergeCell ref="M3:R3"/>
    <mergeCell ref="B4:D4"/>
  </mergeCells>
  <printOptions horizontalCentered="1" verticalCentered="1"/>
  <pageMargins left="0.2" right="0.2" top="0.35433070866141736" bottom="0.18" header="0.15748031496062992" footer="0.17"/>
  <pageSetup fitToHeight="2" horizontalDpi="600" verticalDpi="600" orientation="landscape" paperSize="9" scale="82" r:id="rId3"/>
  <rowBreaks count="1" manualBreakCount="1">
    <brk id="42" max="17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AB69"/>
  <sheetViews>
    <sheetView zoomScale="95" zoomScaleNormal="95" zoomScalePageLayoutView="0" workbookViewId="0" topLeftCell="A1">
      <selection activeCell="D1" sqref="D1"/>
    </sheetView>
  </sheetViews>
  <sheetFormatPr defaultColWidth="11.421875" defaultRowHeight="12.75"/>
  <cols>
    <col min="1" max="1" width="2.140625" style="43" customWidth="1"/>
    <col min="2" max="2" width="4.8515625" style="43" customWidth="1"/>
    <col min="3" max="3" width="20.421875" style="43" customWidth="1"/>
    <col min="4" max="5" width="4.8515625" style="43" customWidth="1"/>
    <col min="6" max="7" width="4.8515625" style="44" customWidth="1"/>
    <col min="8" max="11" width="4.8515625" style="43" customWidth="1"/>
    <col min="12" max="12" width="7.421875" style="43" customWidth="1"/>
    <col min="13" max="13" width="6.8515625" style="43" customWidth="1"/>
    <col min="14" max="14" width="3.8515625" style="43" customWidth="1"/>
    <col min="15" max="15" width="6.8515625" style="43" customWidth="1"/>
    <col min="16" max="16" width="21.421875" style="43" customWidth="1"/>
    <col min="17" max="24" width="4.57421875" style="43" customWidth="1"/>
    <col min="25" max="26" width="7.140625" style="43" customWidth="1"/>
    <col min="27" max="27" width="5.57421875" style="43" customWidth="1"/>
    <col min="28" max="28" width="12.421875" style="43" bestFit="1" customWidth="1"/>
    <col min="29" max="16384" width="11.421875" style="43" customWidth="1"/>
  </cols>
  <sheetData>
    <row r="1" ht="78.75" customHeight="1"/>
    <row r="2" spans="3:26" ht="25.5" customHeight="1">
      <c r="C2" s="45" t="s">
        <v>67</v>
      </c>
      <c r="D2" s="281" t="str">
        <f>saison</f>
        <v>2021-2022</v>
      </c>
      <c r="E2" s="281"/>
      <c r="F2" s="281"/>
      <c r="G2" s="281"/>
      <c r="H2" s="281"/>
      <c r="I2" s="281"/>
      <c r="J2" s="281"/>
      <c r="K2" s="281"/>
      <c r="L2" s="47"/>
      <c r="M2" s="279" t="s">
        <v>65</v>
      </c>
      <c r="N2" s="280"/>
      <c r="O2" s="281" t="str">
        <f>lieu</f>
        <v>Lagny sur Marne</v>
      </c>
      <c r="P2" s="281"/>
      <c r="Q2" s="281"/>
      <c r="R2" s="281"/>
      <c r="S2" s="281"/>
      <c r="T2" s="281"/>
      <c r="U2" s="281"/>
      <c r="V2" s="47"/>
      <c r="W2" s="47"/>
      <c r="X2" s="47"/>
      <c r="Y2" s="47"/>
      <c r="Z2" s="42"/>
    </row>
    <row r="3" spans="3:25" ht="25.5" customHeight="1">
      <c r="C3" s="45" t="s">
        <v>66</v>
      </c>
      <c r="D3" s="281" t="str">
        <f>date</f>
        <v>14 et 15 mai 2022</v>
      </c>
      <c r="E3" s="281"/>
      <c r="F3" s="281"/>
      <c r="G3" s="281"/>
      <c r="H3" s="281"/>
      <c r="I3" s="281"/>
      <c r="J3" s="281"/>
      <c r="K3" s="281"/>
      <c r="L3" s="47"/>
      <c r="M3" s="279" t="s">
        <v>73</v>
      </c>
      <c r="N3" s="280"/>
      <c r="O3" s="281" t="str">
        <f>catégorie</f>
        <v>Benjamins</v>
      </c>
      <c r="P3" s="281"/>
      <c r="Q3" s="281"/>
      <c r="R3" s="281"/>
      <c r="S3" s="281"/>
      <c r="T3" s="281"/>
      <c r="U3" s="281"/>
      <c r="V3" s="47"/>
      <c r="W3" s="47"/>
      <c r="X3" s="47"/>
      <c r="Y3" s="47"/>
    </row>
    <row r="4" spans="1:26" ht="27" customHeight="1">
      <c r="A4" s="47"/>
      <c r="B4" s="47"/>
      <c r="C4" s="268" t="s">
        <v>129</v>
      </c>
      <c r="D4" s="268"/>
      <c r="E4" s="46" t="str">
        <f>'Fiche de renseignements compéti'!C6</f>
        <v>PoulesABCDXYVW :2*7'+2' mi temps +3' i-m = 19 '</v>
      </c>
      <c r="F4" s="46"/>
      <c r="G4" s="46"/>
      <c r="H4" s="46"/>
      <c r="I4" s="46"/>
      <c r="J4" s="46"/>
      <c r="K4" s="46"/>
      <c r="L4" s="46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20.25" customHeight="1">
      <c r="A5" s="47"/>
      <c r="B5" s="47"/>
      <c r="C5" s="45"/>
      <c r="D5" s="48"/>
      <c r="E5" s="172"/>
      <c r="F5" s="48"/>
      <c r="G5" s="48"/>
      <c r="H5" s="48"/>
      <c r="I5" s="48"/>
      <c r="J5" s="48"/>
      <c r="K5" s="48"/>
      <c r="L5" s="267" t="s">
        <v>70</v>
      </c>
      <c r="M5" s="266" t="s">
        <v>71</v>
      </c>
      <c r="N5" s="47"/>
      <c r="O5" s="47"/>
      <c r="P5" s="45"/>
      <c r="Q5" s="48"/>
      <c r="R5" s="48"/>
      <c r="S5" s="48"/>
      <c r="T5" s="48"/>
      <c r="U5" s="48"/>
      <c r="V5" s="48"/>
      <c r="W5" s="48"/>
      <c r="X5" s="48"/>
      <c r="Y5" s="267" t="s">
        <v>70</v>
      </c>
      <c r="Z5" s="267" t="s">
        <v>71</v>
      </c>
    </row>
    <row r="6" spans="2:26" ht="15.75" thickBot="1">
      <c r="B6" s="49"/>
      <c r="C6" s="49" t="s">
        <v>54</v>
      </c>
      <c r="D6" s="49"/>
      <c r="E6" s="49"/>
      <c r="F6" s="50"/>
      <c r="G6" s="50"/>
      <c r="H6" s="49"/>
      <c r="I6" s="49"/>
      <c r="J6" s="38" t="s">
        <v>168</v>
      </c>
      <c r="K6" s="39" t="s">
        <v>72</v>
      </c>
      <c r="L6" s="267"/>
      <c r="M6" s="266"/>
      <c r="N6" s="47"/>
      <c r="O6" s="49"/>
      <c r="P6" s="51" t="s">
        <v>55</v>
      </c>
      <c r="Q6" s="49"/>
      <c r="R6" s="49"/>
      <c r="S6" s="50"/>
      <c r="T6" s="50"/>
      <c r="U6" s="49"/>
      <c r="V6" s="49"/>
      <c r="W6" s="38" t="s">
        <v>168</v>
      </c>
      <c r="X6" s="39" t="s">
        <v>72</v>
      </c>
      <c r="Y6" s="267"/>
      <c r="Z6" s="267"/>
    </row>
    <row r="7" spans="2:26" s="40" customFormat="1" ht="19.5" customHeight="1">
      <c r="B7" s="137" t="s">
        <v>11</v>
      </c>
      <c r="C7" s="192" t="str">
        <f>PA1</f>
        <v>PONTOISE/ASNIERES</v>
      </c>
      <c r="D7" s="56">
        <f>IF(grille!G8&lt;&gt;"",grille!G8,"")</f>
      </c>
      <c r="E7" s="57"/>
      <c r="F7" s="57"/>
      <c r="G7" s="56">
        <f>IF(grille!G20&lt;&gt;"",grille!G20,"")</f>
      </c>
      <c r="H7" s="57"/>
      <c r="I7" s="56">
        <f>IF(grille!H28&lt;&gt;"",grille!H28,"")</f>
      </c>
      <c r="J7" s="194">
        <f>CalculPointMatchs(D7,D8,G7,G9,I7,I10)</f>
      </c>
      <c r="K7" s="182">
        <f>IF(AND(J7&lt;&gt;"",J8&lt;&gt;"",J9&lt;&gt;"",J10&lt;&gt;""),RANK(J7,J$7:J$10),"")</f>
      </c>
      <c r="L7" s="183">
        <f>SUM(D8,G9,I10)</f>
        <v>0</v>
      </c>
      <c r="M7" s="184">
        <f>SUM(D7:I7)</f>
        <v>0</v>
      </c>
      <c r="N7" s="42"/>
      <c r="O7" s="137" t="s">
        <v>13</v>
      </c>
      <c r="P7" s="192" t="str">
        <f>PB2</f>
        <v>PONTIVY/LA BERNERIE</v>
      </c>
      <c r="Q7" s="56">
        <f>IF(grille!G9&lt;&gt;"",grille!G9,"")</f>
      </c>
      <c r="R7" s="57"/>
      <c r="S7" s="57"/>
      <c r="T7" s="56">
        <f>IF(grille!G21&lt;&gt;"",grille!G21,"")</f>
      </c>
      <c r="U7" s="57"/>
      <c r="V7" s="56">
        <f>IF(grille!H29&lt;&gt;"",grille!H29,"")</f>
      </c>
      <c r="W7" s="194">
        <f>CalculPointMatchs(Q7,Q8,T7,T9,V7,V10)</f>
      </c>
      <c r="X7" s="182">
        <f>IF(AND(W7&lt;&gt;"",W8&lt;&gt;"",W9&lt;&gt;"",W10&lt;&gt;""),RANK(W7,W$7:W$10),"")</f>
      </c>
      <c r="Y7" s="183">
        <f>SUM(Q8,T9,V10)</f>
        <v>0</v>
      </c>
      <c r="Z7" s="184">
        <f>SUM(Q7:V7)</f>
        <v>0</v>
      </c>
    </row>
    <row r="8" spans="2:26" s="40" customFormat="1" ht="19.5" customHeight="1">
      <c r="B8" s="138" t="s">
        <v>12</v>
      </c>
      <c r="C8" s="176" t="str">
        <f>PA5</f>
        <v>HYERES</v>
      </c>
      <c r="D8" s="59">
        <f>IF(grille!H8&lt;&gt;"",grille!H8,"")</f>
      </c>
      <c r="E8" s="58"/>
      <c r="F8" s="59">
        <f>IF(grille!G16&lt;&gt;"",grille!G16,"")</f>
      </c>
      <c r="G8" s="58"/>
      <c r="H8" s="59">
        <f>IF(grille!G24&lt;&gt;"",grille!G24,"")</f>
      </c>
      <c r="I8" s="178"/>
      <c r="J8" s="195">
        <f>CalculPointMatchs(D8,D7,F8,F10,H8,H9)</f>
      </c>
      <c r="K8" s="177">
        <f>IF(AND(J7&lt;&gt;"",J8&lt;&gt;"",J9&lt;&gt;"",J10&lt;&gt;""),RANK(J8,J$7:J$10),"")</f>
      </c>
      <c r="L8" s="41">
        <f>SUM(D7,F10,H9)</f>
        <v>0</v>
      </c>
      <c r="M8" s="185">
        <f>SUM(D8:I8)</f>
        <v>0</v>
      </c>
      <c r="N8" s="42"/>
      <c r="O8" s="138" t="s">
        <v>16</v>
      </c>
      <c r="P8" s="176" t="str">
        <f>PB6</f>
        <v>LE CHESNAY/CLAMART</v>
      </c>
      <c r="Q8" s="59">
        <f>IF(grille!H9&lt;&gt;"",grille!H9,"")</f>
      </c>
      <c r="R8" s="58"/>
      <c r="S8" s="59">
        <f>IF(grille!G17&lt;&gt;"",grille!G17,"")</f>
      </c>
      <c r="T8" s="58"/>
      <c r="U8" s="59">
        <f>IF(grille!G25&lt;&gt;"",grille!G25,"")</f>
      </c>
      <c r="V8" s="178"/>
      <c r="W8" s="195">
        <f>CalculPointMatchs(Q8,Q7,S8,S10,U8,U9)</f>
      </c>
      <c r="X8" s="177">
        <f>IF(AND(W7&lt;&gt;"",W8&lt;&gt;"",W9&lt;&gt;"",W10&lt;&gt;""),RANK(W8,W$7:W$10),"")</f>
      </c>
      <c r="Y8" s="41">
        <f>SUM(Q7,S10,U9)</f>
        <v>0</v>
      </c>
      <c r="Z8" s="185">
        <f>SUM(Q8:V8)</f>
        <v>0</v>
      </c>
    </row>
    <row r="9" spans="2:26" s="40" customFormat="1" ht="19.5" customHeight="1">
      <c r="B9" s="138" t="s">
        <v>19</v>
      </c>
      <c r="C9" s="176" t="str">
        <f>PA9</f>
        <v>LAGNY 2</v>
      </c>
      <c r="D9" s="58"/>
      <c r="E9" s="59">
        <f>IF(grille!G12&lt;&gt;"",grille!G12,"")</f>
      </c>
      <c r="F9" s="58"/>
      <c r="G9" s="59">
        <f>IF(grille!H20&lt;&gt;"",grille!H20,"")</f>
      </c>
      <c r="H9" s="59">
        <f>IF(grille!H24&lt;&gt;"",grille!H24,"")</f>
      </c>
      <c r="I9" s="178"/>
      <c r="J9" s="195">
        <f>CalculPointMatchs(E9,E10,G9,G7,H9,H8)</f>
      </c>
      <c r="K9" s="177">
        <f>IF(AND(J7&lt;&gt;"",J8&lt;&gt;"",J9&lt;&gt;"",J10&lt;&gt;""),RANK(J9,J$7:J$10),"")</f>
      </c>
      <c r="L9" s="41">
        <f>SUM(E10,G7,H8)</f>
        <v>0</v>
      </c>
      <c r="M9" s="185">
        <f>SUM(D9:I9)</f>
        <v>0</v>
      </c>
      <c r="N9" s="42"/>
      <c r="O9" s="138" t="s">
        <v>20</v>
      </c>
      <c r="P9" s="176" t="str">
        <f>PB10</f>
        <v>MULHOUSE</v>
      </c>
      <c r="Q9" s="58"/>
      <c r="R9" s="59">
        <f>IF(grille!G13&lt;&gt;"",grille!G13,"")</f>
      </c>
      <c r="S9" s="58"/>
      <c r="T9" s="59">
        <f>IF(grille!H21&lt;&gt;"",grille!H21,"")</f>
      </c>
      <c r="U9" s="59">
        <f>IF(grille!H25&lt;&gt;"",grille!H25,"")</f>
      </c>
      <c r="V9" s="178"/>
      <c r="W9" s="195">
        <f>CalculPointMatchs(R9,R10,T9,T7,U9,U8)</f>
      </c>
      <c r="X9" s="177">
        <f>IF(AND(W7&lt;&gt;"",W8&lt;&gt;"",W9&lt;&gt;"",W10&lt;&gt;""),RANK(W9,W$7:W$10),"")</f>
      </c>
      <c r="Y9" s="41">
        <f>SUM(R10,T7,U8)</f>
        <v>0</v>
      </c>
      <c r="Z9" s="185">
        <f>SUM(Q9:V9)</f>
        <v>0</v>
      </c>
    </row>
    <row r="10" spans="2:26" s="40" customFormat="1" ht="19.5" customHeight="1" thickBot="1">
      <c r="B10" s="139" t="s">
        <v>68</v>
      </c>
      <c r="C10" s="193" t="str">
        <f>pa13</f>
        <v>STRASBOURG</v>
      </c>
      <c r="D10" s="61"/>
      <c r="E10" s="62">
        <f>IF(grille!H12&lt;&gt;"",grille!H12,"")</f>
      </c>
      <c r="F10" s="62">
        <f>IF(grille!H16&lt;&gt;"",grille!H16,"")</f>
      </c>
      <c r="G10" s="61"/>
      <c r="H10" s="61"/>
      <c r="I10" s="62">
        <f>IF(grille!G28&lt;&gt;"",grille!G28,"")</f>
      </c>
      <c r="J10" s="196">
        <f>CalculPointMatchs(E10,E9,F10,F8,I10,I7)</f>
      </c>
      <c r="K10" s="187">
        <f>IF(AND(J7&lt;&gt;"",J8&lt;&gt;"",J9&lt;&gt;"",J10&lt;&gt;""),RANK(J10,J$7:J$10),"")</f>
      </c>
      <c r="L10" s="188">
        <f>SUM(E9,F8,I7)</f>
        <v>0</v>
      </c>
      <c r="M10" s="189">
        <f>SUM(D10:I10)</f>
        <v>0</v>
      </c>
      <c r="N10" s="42"/>
      <c r="O10" s="139" t="s">
        <v>69</v>
      </c>
      <c r="P10" s="193" t="str">
        <f>PB14</f>
        <v>PESSAC 2</v>
      </c>
      <c r="Q10" s="61"/>
      <c r="R10" s="62">
        <f>IF(grille!H13&lt;&gt;"",grille!H13,"")</f>
      </c>
      <c r="S10" s="62">
        <f>IF(grille!H17&lt;&gt;"",grille!H17,"")</f>
      </c>
      <c r="T10" s="61"/>
      <c r="U10" s="61"/>
      <c r="V10" s="62">
        <f>IF(grille!G29&lt;&gt;"",grille!G29,"")</f>
      </c>
      <c r="W10" s="196">
        <f>CalculPointMatchs(R10,R9,S10,S8,V10,V7)</f>
      </c>
      <c r="X10" s="187">
        <f>IF(AND(W7&lt;&gt;"",W8&lt;&gt;"",W9&lt;&gt;"",W10&lt;&gt;""),RANK(W10,W$7:W$10),"")</f>
      </c>
      <c r="Y10" s="188">
        <f>SUM(R9,S8,V7)</f>
        <v>0</v>
      </c>
      <c r="Z10" s="189">
        <f>SUM(Q10:V10)</f>
        <v>0</v>
      </c>
    </row>
    <row r="11" spans="2:26" ht="15">
      <c r="B11" s="49"/>
      <c r="C11" s="49"/>
      <c r="D11" s="200"/>
      <c r="E11" s="201"/>
      <c r="F11" s="50"/>
      <c r="G11" s="50"/>
      <c r="H11" s="200"/>
      <c r="I11" s="200"/>
      <c r="J11" s="52"/>
      <c r="K11" s="49"/>
      <c r="L11" s="49"/>
      <c r="M11" s="49"/>
      <c r="N11" s="49"/>
      <c r="O11" s="49"/>
      <c r="P11" s="49"/>
      <c r="Q11" s="200"/>
      <c r="R11" s="200"/>
      <c r="S11" s="200"/>
      <c r="T11" s="200"/>
      <c r="U11" s="200"/>
      <c r="V11" s="200"/>
      <c r="Y11" s="49"/>
      <c r="Z11" s="49"/>
    </row>
    <row r="12" spans="1:26" ht="15.75" customHeight="1">
      <c r="A12" s="47"/>
      <c r="B12" s="47"/>
      <c r="C12" s="45"/>
      <c r="D12" s="48"/>
      <c r="E12" s="48"/>
      <c r="F12" s="48"/>
      <c r="G12" s="48"/>
      <c r="H12" s="48"/>
      <c r="I12" s="48"/>
      <c r="J12" s="48"/>
      <c r="K12" s="48"/>
      <c r="L12" s="267" t="s">
        <v>70</v>
      </c>
      <c r="M12" s="266" t="s">
        <v>71</v>
      </c>
      <c r="N12" s="47"/>
      <c r="O12" s="47"/>
      <c r="P12" s="45"/>
      <c r="Q12" s="48"/>
      <c r="R12" s="48"/>
      <c r="S12" s="48"/>
      <c r="T12" s="48"/>
      <c r="U12" s="48"/>
      <c r="V12" s="48"/>
      <c r="W12" s="48"/>
      <c r="X12" s="48"/>
      <c r="Y12" s="267" t="s">
        <v>70</v>
      </c>
      <c r="Z12" s="267" t="s">
        <v>71</v>
      </c>
    </row>
    <row r="13" spans="2:26" ht="15.75" thickBot="1">
      <c r="B13" s="49"/>
      <c r="C13" s="51" t="s">
        <v>56</v>
      </c>
      <c r="D13" s="200"/>
      <c r="E13" s="200"/>
      <c r="F13" s="50"/>
      <c r="G13" s="50"/>
      <c r="H13" s="200"/>
      <c r="I13" s="200"/>
      <c r="J13" s="38" t="s">
        <v>168</v>
      </c>
      <c r="K13" s="39" t="s">
        <v>72</v>
      </c>
      <c r="L13" s="267"/>
      <c r="M13" s="266"/>
      <c r="N13" s="47"/>
      <c r="O13" s="49"/>
      <c r="P13" s="51" t="s">
        <v>57</v>
      </c>
      <c r="Q13" s="200"/>
      <c r="R13" s="200"/>
      <c r="S13" s="50"/>
      <c r="T13" s="50"/>
      <c r="U13" s="200"/>
      <c r="V13" s="200"/>
      <c r="W13" s="38" t="s">
        <v>168</v>
      </c>
      <c r="X13" s="39" t="s">
        <v>72</v>
      </c>
      <c r="Y13" s="267"/>
      <c r="Z13" s="267"/>
    </row>
    <row r="14" spans="2:28" s="40" customFormat="1" ht="19.5" customHeight="1">
      <c r="B14" s="137" t="s">
        <v>14</v>
      </c>
      <c r="C14" s="192" t="str">
        <f>PC3</f>
        <v>LAGNY 1</v>
      </c>
      <c r="D14" s="56">
        <f>IF(grille!G10&lt;&gt;"",grille!G10,"")</f>
      </c>
      <c r="E14" s="57"/>
      <c r="F14" s="57"/>
      <c r="G14" s="56">
        <f>IF(grille!G22&lt;&gt;"",grille!G22,"")</f>
      </c>
      <c r="H14" s="57"/>
      <c r="I14" s="56">
        <f>IF(grille!H30&lt;&gt;"",grille!H30,"")</f>
      </c>
      <c r="J14" s="194">
        <f>CalculPointMatchs(D14,D15,G14,G16,I14,I17)</f>
      </c>
      <c r="K14" s="182">
        <f>IF(AND(J14&lt;&gt;"",J15&lt;&gt;"",J16&lt;&gt;"",J17&lt;&gt;""),RANK(J14,J$14:J$17),"")</f>
      </c>
      <c r="L14" s="183">
        <f>SUM(D15,G16,I17)</f>
        <v>0</v>
      </c>
      <c r="M14" s="184">
        <f>SUM(D14:I14)</f>
        <v>0</v>
      </c>
      <c r="N14" s="42"/>
      <c r="O14" s="137" t="s">
        <v>15</v>
      </c>
      <c r="P14" s="192" t="str">
        <f>PD4</f>
        <v>COMPIEGNE/CORBIE/LILLE</v>
      </c>
      <c r="Q14" s="56">
        <f>IF(grille!G11&lt;&gt;"",grille!G11,"")</f>
      </c>
      <c r="R14" s="57"/>
      <c r="S14" s="57"/>
      <c r="T14" s="56">
        <f>IF(grille!G23&lt;&gt;"",grille!G23,"")</f>
      </c>
      <c r="U14" s="57"/>
      <c r="V14" s="56">
        <f>IF(grille!H31&lt;&gt;"",grille!H31,"")</f>
        <v>0</v>
      </c>
      <c r="W14" s="194">
        <f>CalculPointMatchs(Q14,Q15,T14,T16,V14,V17)</f>
      </c>
      <c r="X14" s="182">
        <f>IF(AND(W14&lt;&gt;"",W15&lt;&gt;"",W16&lt;&gt;"",W17&lt;&gt;""),RANK(W14,W$14:W$17),"")</f>
      </c>
      <c r="Y14" s="183">
        <f>SUM(Q15,T16,V17)</f>
        <v>0</v>
      </c>
      <c r="Z14" s="184">
        <f>SUM(Q14:V14)</f>
        <v>0</v>
      </c>
      <c r="AB14" s="225"/>
    </row>
    <row r="15" spans="2:28" s="40" customFormat="1" ht="19.5" customHeight="1">
      <c r="B15" s="138" t="s">
        <v>17</v>
      </c>
      <c r="C15" s="176" t="str">
        <f>PC7</f>
        <v>MOIRANS/LE PUY</v>
      </c>
      <c r="D15" s="59">
        <f>IF(grille!H10&lt;&gt;"",grille!H10,"")</f>
      </c>
      <c r="E15" s="58"/>
      <c r="F15" s="59">
        <f>IF(grille!G18&lt;&gt;"",grille!G18,"")</f>
      </c>
      <c r="G15" s="58"/>
      <c r="H15" s="59">
        <f>IF(grille!G26&lt;&gt;"",grille!G26,"")</f>
      </c>
      <c r="I15" s="178"/>
      <c r="J15" s="195">
        <f>CalculPointMatchs(D15,D14,F15,F17,H15,H16)</f>
      </c>
      <c r="K15" s="177">
        <f>IF(AND(J14&lt;&gt;"",J15&lt;&gt;"",J16&lt;&gt;"",J17&lt;&gt;""),RANK(J15,J$14:J$17),"")</f>
      </c>
      <c r="L15" s="41">
        <f>SUM(D14,F17,H16)</f>
        <v>0</v>
      </c>
      <c r="M15" s="185">
        <f>SUM(D15:I15)</f>
        <v>0</v>
      </c>
      <c r="N15" s="42"/>
      <c r="O15" s="138" t="s">
        <v>18</v>
      </c>
      <c r="P15" s="176" t="str">
        <f>PD8</f>
        <v>NEUILLY</v>
      </c>
      <c r="Q15" s="59">
        <f>IF(grille!H11&lt;&gt;"",grille!H11,"")</f>
      </c>
      <c r="R15" s="58"/>
      <c r="S15" s="59">
        <f>IF(grille!G19&lt;&gt;"",grille!G19,"")</f>
        <v>0</v>
      </c>
      <c r="T15" s="58"/>
      <c r="U15" s="59">
        <f>IF(grille!G27&lt;&gt;"",grille!G27,"")</f>
      </c>
      <c r="V15" s="178"/>
      <c r="W15" s="195">
        <f>CalculPointMatchs(Q15,Q14,S15,S17,U15,U16)</f>
      </c>
      <c r="X15" s="177">
        <f>IF(AND(W14&lt;&gt;"",W15&lt;&gt;"",W16&lt;&gt;"",W17&lt;&gt;""),RANK(W15,W$14:W$17),"")</f>
      </c>
      <c r="Y15" s="41">
        <f>SUM(Q14,S17,U16)</f>
        <v>0</v>
      </c>
      <c r="Z15" s="185">
        <f>SUM(Q15:V15)</f>
        <v>0</v>
      </c>
      <c r="AB15" s="225"/>
    </row>
    <row r="16" spans="2:28" s="40" customFormat="1" ht="19.5" customHeight="1">
      <c r="B16" s="138" t="s">
        <v>21</v>
      </c>
      <c r="C16" s="176" t="str">
        <f>PC11</f>
        <v>RENNES</v>
      </c>
      <c r="D16" s="58"/>
      <c r="E16" s="59">
        <f>IF(grille!G14&lt;&gt;"",grille!G14,"")</f>
      </c>
      <c r="F16" s="58"/>
      <c r="G16" s="59">
        <f>IF(grille!H22&lt;&gt;"",grille!H22,"")</f>
      </c>
      <c r="H16" s="59">
        <f>IF(grille!H26&lt;&gt;"",grille!H26,"")</f>
      </c>
      <c r="I16" s="178"/>
      <c r="J16" s="195">
        <f>CalculPointMatchs(E16,E17,G16,G14,H16,H15)</f>
      </c>
      <c r="K16" s="177">
        <f>IF(AND(J14&lt;&gt;"",J15&lt;&gt;"",J16&lt;&gt;"",J17&lt;&gt;""),RANK(J16,J$14:J$17),"")</f>
      </c>
      <c r="L16" s="41">
        <f>SUM(E17,G14,H15)</f>
        <v>0</v>
      </c>
      <c r="M16" s="185">
        <f>SUM(D16:I16)</f>
        <v>0</v>
      </c>
      <c r="N16" s="42"/>
      <c r="O16" s="138" t="s">
        <v>22</v>
      </c>
      <c r="P16" s="176" t="str">
        <f>PD12</f>
        <v>PESSAC 1</v>
      </c>
      <c r="Q16" s="58"/>
      <c r="R16" s="59">
        <f>IF(grille!G15&lt;&gt;"",grille!G15,"")</f>
        <v>0</v>
      </c>
      <c r="S16" s="58"/>
      <c r="T16" s="59">
        <f>IF(grille!H23&lt;&gt;"",grille!H23,"")</f>
      </c>
      <c r="U16" s="59">
        <f>IF(grille!H27&lt;&gt;"",grille!H27,"")</f>
      </c>
      <c r="V16" s="178"/>
      <c r="W16" s="195">
        <f>CalculPointMatchs(R16,R17,T16,T14,U16,U15)</f>
      </c>
      <c r="X16" s="177">
        <f>IF(AND(W14&lt;&gt;"",W15&lt;&gt;"",W16&lt;&gt;"",W17&lt;&gt;""),RANK(W16,W$14:W$17),"")</f>
      </c>
      <c r="Y16" s="41">
        <f>SUM(R17,T14,U15)</f>
        <v>0</v>
      </c>
      <c r="Z16" s="185">
        <f>SUM(Q16:V16)</f>
        <v>0</v>
      </c>
      <c r="AB16" s="225"/>
    </row>
    <row r="17" spans="2:26" s="40" customFormat="1" ht="19.5" customHeight="1" thickBot="1">
      <c r="B17" s="139" t="s">
        <v>74</v>
      </c>
      <c r="C17" s="193" t="str">
        <f>PC15</f>
        <v>LA ROCHELLE/ST ASTIER</v>
      </c>
      <c r="D17" s="61"/>
      <c r="E17" s="62">
        <f>IF(grille!H14&lt;&gt;"",grille!H14,"")</f>
      </c>
      <c r="F17" s="62">
        <f>IF(grille!H18&lt;&gt;"",grille!H18,"")</f>
      </c>
      <c r="G17" s="61"/>
      <c r="H17" s="61"/>
      <c r="I17" s="62">
        <f>IF(grille!G30&lt;&gt;"",grille!G30,"")</f>
      </c>
      <c r="J17" s="196">
        <f>CalculPointMatchs(E17,E16,F17,F15,I17,I14)</f>
      </c>
      <c r="K17" s="187">
        <f>IF(AND(J14&lt;&gt;"",J15&lt;&gt;"",J16&lt;&gt;"",J17&lt;&gt;""),RANK(J17,J$14:J$17),"")</f>
      </c>
      <c r="L17" s="188">
        <f>SUM(E16,F15,I14)</f>
        <v>0</v>
      </c>
      <c r="M17" s="189">
        <f>SUM(D17:I17)</f>
        <v>0</v>
      </c>
      <c r="N17" s="42"/>
      <c r="O17" s="139" t="s">
        <v>75</v>
      </c>
      <c r="P17" s="193" t="str">
        <f>PD16</f>
        <v>FORFAIT</v>
      </c>
      <c r="Q17" s="61"/>
      <c r="R17" s="62" t="str">
        <f>IF(grille!H15&lt;&gt;"",grille!H15,"")</f>
        <v>F</v>
      </c>
      <c r="S17" s="62" t="str">
        <f>IF(grille!H19&lt;&gt;"",grille!H19,"")</f>
        <v>F</v>
      </c>
      <c r="T17" s="61"/>
      <c r="U17" s="61"/>
      <c r="V17" s="62" t="str">
        <f>IF(grille!G31&lt;&gt;"",grille!G31,"")</f>
        <v>F</v>
      </c>
      <c r="W17" s="196">
        <f>CalculPointMatchs(R17,R16,S17,S15,V17,V14)</f>
        <v>0</v>
      </c>
      <c r="X17" s="187">
        <f>IF(AND(W14&lt;&gt;"",W15&lt;&gt;"",W16&lt;&gt;"",W17&lt;&gt;""),RANK(W17,W$14:W$17),"")</f>
      </c>
      <c r="Y17" s="188">
        <f>SUM(R16,S15,V14)</f>
        <v>0</v>
      </c>
      <c r="Z17" s="189">
        <f>SUM(Q17:V17)</f>
        <v>0</v>
      </c>
    </row>
    <row r="18" spans="2:26" ht="15">
      <c r="B18" s="49"/>
      <c r="C18" s="49"/>
      <c r="D18" s="200"/>
      <c r="E18" s="201"/>
      <c r="F18" s="50"/>
      <c r="G18" s="50"/>
      <c r="H18" s="200"/>
      <c r="I18" s="200"/>
      <c r="J18" s="52"/>
      <c r="K18" s="49"/>
      <c r="L18" s="49"/>
      <c r="M18" s="49"/>
      <c r="N18" s="49"/>
      <c r="O18" s="49"/>
      <c r="P18" s="49"/>
      <c r="Q18" s="200"/>
      <c r="R18" s="200"/>
      <c r="S18" s="200"/>
      <c r="T18" s="200"/>
      <c r="U18" s="200"/>
      <c r="V18" s="200"/>
      <c r="Y18" s="49"/>
      <c r="Z18" s="49"/>
    </row>
    <row r="19" spans="2:26" ht="15">
      <c r="B19" s="49"/>
      <c r="C19" s="54"/>
      <c r="D19" s="200"/>
      <c r="E19" s="200"/>
      <c r="F19" s="50"/>
      <c r="G19" s="50"/>
      <c r="H19" s="200"/>
      <c r="I19" s="200"/>
      <c r="J19" s="48"/>
      <c r="K19" s="48"/>
      <c r="L19" s="267" t="s">
        <v>70</v>
      </c>
      <c r="M19" s="266" t="s">
        <v>71</v>
      </c>
      <c r="N19" s="49"/>
      <c r="O19" s="49"/>
      <c r="P19" s="54"/>
      <c r="Q19" s="200"/>
      <c r="R19" s="200"/>
      <c r="S19" s="200"/>
      <c r="T19" s="200"/>
      <c r="U19" s="200"/>
      <c r="V19" s="200"/>
      <c r="W19" s="48"/>
      <c r="X19" s="48"/>
      <c r="Y19" s="267" t="s">
        <v>70</v>
      </c>
      <c r="Z19" s="266" t="s">
        <v>71</v>
      </c>
    </row>
    <row r="20" spans="2:26" ht="15.75" thickBot="1">
      <c r="B20" s="49"/>
      <c r="C20" s="55" t="s">
        <v>76</v>
      </c>
      <c r="D20" s="200"/>
      <c r="E20" s="200"/>
      <c r="F20" s="50"/>
      <c r="G20" s="50"/>
      <c r="H20" s="200"/>
      <c r="I20" s="200"/>
      <c r="J20" s="38" t="s">
        <v>168</v>
      </c>
      <c r="K20" s="39" t="s">
        <v>72</v>
      </c>
      <c r="L20" s="267"/>
      <c r="M20" s="266"/>
      <c r="O20" s="49"/>
      <c r="P20" s="55" t="s">
        <v>77</v>
      </c>
      <c r="Q20" s="200"/>
      <c r="R20" s="215"/>
      <c r="S20" s="200"/>
      <c r="T20" s="200"/>
      <c r="U20" s="200"/>
      <c r="V20" s="200"/>
      <c r="W20" s="38" t="s">
        <v>168</v>
      </c>
      <c r="X20" s="39" t="s">
        <v>72</v>
      </c>
      <c r="Y20" s="267"/>
      <c r="Z20" s="266"/>
    </row>
    <row r="21" spans="2:26" s="40" customFormat="1" ht="19.5" customHeight="1">
      <c r="B21" s="140" t="s">
        <v>23</v>
      </c>
      <c r="C21" s="181">
        <f>_xlfn.IFERROR(INDEX(C7:C10,MATCH(1,K7:K10,0)),"")</f>
      </c>
      <c r="D21" s="202"/>
      <c r="E21" s="203"/>
      <c r="F21" s="57"/>
      <c r="G21" s="56">
        <f>IF(grille!G34&lt;&gt;"",grille!G34,"")</f>
      </c>
      <c r="H21" s="57"/>
      <c r="I21" s="56">
        <f>IF(grille!G44&lt;&gt;"",grille!G44,"")</f>
      </c>
      <c r="J21" s="194">
        <f>CalculPointMatchs(D21,D22,G21,G23,I21,I24)</f>
      </c>
      <c r="K21" s="182">
        <f>IF(AND(J21&lt;&gt;"",J22&lt;&gt;"",J23&lt;&gt;"",J24&lt;&gt;""),RANK(J21,J$21:J$24),"")</f>
      </c>
      <c r="L21" s="183">
        <f>SUM(D22,G23,I24)</f>
        <v>0</v>
      </c>
      <c r="M21" s="184">
        <f>SUM(D21:I21)</f>
        <v>0</v>
      </c>
      <c r="N21" s="42"/>
      <c r="O21" s="140" t="s">
        <v>25</v>
      </c>
      <c r="P21" s="181">
        <f>_xlfn.IFERROR(INDEX(C14:C17,MATCH(1,K14:K17,0)),"")</f>
      </c>
      <c r="Q21" s="202"/>
      <c r="R21" s="203"/>
      <c r="S21" s="57"/>
      <c r="T21" s="56">
        <f>IF(grille!G35&lt;&gt;"",grille!G35,"")</f>
      </c>
      <c r="U21" s="57"/>
      <c r="V21" s="56">
        <f>IF(grille!G45&lt;&gt;"",grille!G45,"")</f>
      </c>
      <c r="W21" s="194">
        <f>CalculPointMatchs(Q21,Q22,T21,T23,V21,V24)</f>
      </c>
      <c r="X21" s="182">
        <f>IF(AND(W21&lt;&gt;"",W22&lt;&gt;"",W23&lt;&gt;"",W24&lt;&gt;""),RANK(W21,W$21:W$24),"")</f>
      </c>
      <c r="Y21" s="183">
        <f>SUM(Q22,T23,V24)</f>
        <v>0</v>
      </c>
      <c r="Z21" s="184">
        <f>SUM(Q21:V21)</f>
        <v>0</v>
      </c>
    </row>
    <row r="22" spans="2:26" s="40" customFormat="1" ht="19.5" customHeight="1">
      <c r="B22" s="141" t="s">
        <v>24</v>
      </c>
      <c r="C22" s="179">
        <f>_xlfn.IFERROR(INDEX(C7:C10,MATCH(2,K7:K10,0)),"")</f>
      </c>
      <c r="D22" s="204"/>
      <c r="E22" s="205"/>
      <c r="F22" s="59">
        <f>IF(grille!G32&lt;&gt;"",grille!G32,"")</f>
      </c>
      <c r="G22" s="58"/>
      <c r="H22" s="59">
        <f>IF(grille!G40&lt;&gt;"",grille!G40,"")</f>
      </c>
      <c r="I22" s="178"/>
      <c r="J22" s="195">
        <f>CalculPointMatchs(D22,D21,F22,F24,H22,H23)</f>
      </c>
      <c r="K22" s="177">
        <f>IF(AND(J21&lt;&gt;"",J22&lt;&gt;"",J23&lt;&gt;"",J24&lt;&gt;""),RANK(J22,J$21:J$24),"")</f>
      </c>
      <c r="L22" s="41">
        <f>SUM(D21,F24,H23)</f>
        <v>0</v>
      </c>
      <c r="M22" s="185">
        <f>SUM(D22:I22)</f>
        <v>0</v>
      </c>
      <c r="N22" s="42"/>
      <c r="O22" s="141" t="s">
        <v>26</v>
      </c>
      <c r="P22" s="179">
        <f>_xlfn.IFERROR(INDEX(C14:C17,MATCH(2,K14:K17,0)),"")</f>
      </c>
      <c r="Q22" s="206"/>
      <c r="R22" s="205"/>
      <c r="S22" s="59">
        <f>IF(grille!G33&lt;&gt;"",grille!G33,"")</f>
      </c>
      <c r="T22" s="58"/>
      <c r="U22" s="59">
        <f>IF(grille!G41&lt;&gt;"",grille!G41,"")</f>
      </c>
      <c r="V22" s="178"/>
      <c r="W22" s="195">
        <f>CalculPointMatchs(Q22,Q21,S22,S24,U22,U23)</f>
      </c>
      <c r="X22" s="177">
        <f>IF(AND(W21&lt;&gt;"",W22&lt;&gt;"",W23&lt;&gt;"",W24&lt;&gt;""),RANK(W22,W$21:W$24),"")</f>
      </c>
      <c r="Y22" s="41">
        <f>SUM(Q21,S24,U23)</f>
        <v>0</v>
      </c>
      <c r="Z22" s="185">
        <f>SUM(Q22:V22)</f>
        <v>0</v>
      </c>
    </row>
    <row r="23" spans="2:26" s="40" customFormat="1" ht="19.5" customHeight="1">
      <c r="B23" s="141" t="s">
        <v>28</v>
      </c>
      <c r="C23" s="179">
        <f>_xlfn.IFERROR(INDEX(P7:P10,MATCH(1,X7:X10,0)),"")</f>
      </c>
      <c r="D23" s="205"/>
      <c r="E23" s="206"/>
      <c r="F23" s="58"/>
      <c r="G23" s="59">
        <f>IF(grille!H34&lt;&gt;"",grille!H34,"")</f>
      </c>
      <c r="H23" s="59">
        <f>IF(grille!H40&lt;&gt;"",grille!H40,"")</f>
      </c>
      <c r="I23" s="178"/>
      <c r="J23" s="195">
        <f>CalculPointMatchs(E23,E24,G23,G21,H23,H22)</f>
      </c>
      <c r="K23" s="177">
        <f>IF(AND(J21&lt;&gt;"",J22&lt;&gt;"",J23&lt;&gt;"",J24&lt;&gt;""),RANK(J23,J$21:J$24),"")</f>
      </c>
      <c r="L23" s="41">
        <f>SUM(E24,G21,H22)</f>
        <v>0</v>
      </c>
      <c r="M23" s="185">
        <f>SUM(D23:I23)</f>
        <v>0</v>
      </c>
      <c r="N23" s="42"/>
      <c r="O23" s="141" t="s">
        <v>30</v>
      </c>
      <c r="P23" s="179">
        <f>_xlfn.IFERROR(INDEX(P14:P17,MATCH(1,X14:X17,0)),"")</f>
      </c>
      <c r="Q23" s="205"/>
      <c r="R23" s="206"/>
      <c r="S23" s="58"/>
      <c r="T23" s="59">
        <f>IF(grille!H35&lt;&gt;"",grille!H35,"")</f>
      </c>
      <c r="U23" s="59">
        <f>IF(grille!H41&lt;&gt;"",grille!H41,"")</f>
      </c>
      <c r="V23" s="178"/>
      <c r="W23" s="195">
        <f>CalculPointMatchs(R23,R24,T23,T21,U23,U22)</f>
      </c>
      <c r="X23" s="177">
        <f>IF(AND(W21&lt;&gt;"",W22&lt;&gt;"",W23&lt;&gt;"",W24&lt;&gt;""),RANK(W23,W$21:W$24),"")</f>
      </c>
      <c r="Y23" s="41">
        <f>SUM(R24,T21,U22)</f>
        <v>0</v>
      </c>
      <c r="Z23" s="185">
        <f>SUM(Q23:V23)</f>
        <v>0</v>
      </c>
    </row>
    <row r="24" spans="2:26" s="40" customFormat="1" ht="19.5" customHeight="1" thickBot="1">
      <c r="B24" s="142" t="s">
        <v>27</v>
      </c>
      <c r="C24" s="186">
        <f>_xlfn.IFERROR(INDEX(P7:P10,MATCH(2,X7:X10,0)),"")</f>
      </c>
      <c r="D24" s="207"/>
      <c r="E24" s="208"/>
      <c r="F24" s="62">
        <f>IF(grille!H32&lt;&gt;"",grille!H32,"")</f>
      </c>
      <c r="G24" s="61"/>
      <c r="H24" s="61"/>
      <c r="I24" s="62">
        <f>IF(grille!H44&lt;&gt;"",grille!H44,"")</f>
      </c>
      <c r="J24" s="196">
        <f>CalculPointMatchs(E24,E23,F24,F22,I24,I21)</f>
      </c>
      <c r="K24" s="187">
        <f>IF(AND(J21&lt;&gt;"",J22&lt;&gt;"",J23&lt;&gt;"",J24&lt;&gt;""),RANK(J24,J$21:J$24),"")</f>
      </c>
      <c r="L24" s="188">
        <f>SUM(E23,F22,I21)</f>
        <v>0</v>
      </c>
      <c r="M24" s="189">
        <f>SUM(D24:I24)</f>
        <v>0</v>
      </c>
      <c r="N24" s="42"/>
      <c r="O24" s="142" t="s">
        <v>29</v>
      </c>
      <c r="P24" s="186">
        <f>_xlfn.IFERROR(INDEX(P14:P17,MATCH(2,X14:X17,0)),"")</f>
      </c>
      <c r="Q24" s="207"/>
      <c r="R24" s="208"/>
      <c r="S24" s="62">
        <f>IF(grille!H33&lt;&gt;"",grille!H33,"")</f>
      </c>
      <c r="T24" s="61"/>
      <c r="U24" s="61"/>
      <c r="V24" s="62">
        <f>IF(grille!H45&lt;&gt;"",grille!H45,"")</f>
      </c>
      <c r="W24" s="196">
        <f>CalculPointMatchs(R24,R23,S24,S22,V24,V21)</f>
      </c>
      <c r="X24" s="187">
        <f>IF(AND(W21&lt;&gt;"",W22&lt;&gt;"",W23&lt;&gt;"",W24&lt;&gt;""),RANK(W24,W$21:W$24),"")</f>
      </c>
      <c r="Y24" s="188">
        <f>SUM(R23,S22,V21)</f>
        <v>0</v>
      </c>
      <c r="Z24" s="189">
        <f>SUM(Q24:V24)</f>
        <v>0</v>
      </c>
    </row>
    <row r="25" spans="2:26" ht="15">
      <c r="B25" s="49"/>
      <c r="C25" s="54"/>
      <c r="D25" s="200"/>
      <c r="E25" s="200"/>
      <c r="F25" s="50"/>
      <c r="G25" s="50"/>
      <c r="H25" s="200"/>
      <c r="I25" s="200"/>
      <c r="J25" s="49"/>
      <c r="K25" s="49"/>
      <c r="L25" s="49"/>
      <c r="M25" s="49"/>
      <c r="N25" s="49"/>
      <c r="O25" s="49"/>
      <c r="P25" s="54"/>
      <c r="Q25" s="200"/>
      <c r="R25" s="200"/>
      <c r="S25" s="200"/>
      <c r="T25" s="200"/>
      <c r="U25" s="200"/>
      <c r="V25" s="200"/>
      <c r="W25" s="49"/>
      <c r="X25" s="49"/>
      <c r="Y25" s="49"/>
      <c r="Z25" s="49"/>
    </row>
    <row r="26" spans="2:26" ht="15">
      <c r="B26" s="49"/>
      <c r="C26" s="54"/>
      <c r="D26" s="200"/>
      <c r="E26" s="200"/>
      <c r="F26" s="50"/>
      <c r="G26" s="50"/>
      <c r="H26" s="200"/>
      <c r="I26" s="200"/>
      <c r="J26" s="48"/>
      <c r="K26" s="48"/>
      <c r="L26" s="267" t="s">
        <v>70</v>
      </c>
      <c r="M26" s="266" t="s">
        <v>71</v>
      </c>
      <c r="N26" s="49"/>
      <c r="O26" s="49"/>
      <c r="P26" s="54"/>
      <c r="Q26" s="200"/>
      <c r="R26" s="200"/>
      <c r="S26" s="200"/>
      <c r="T26" s="200"/>
      <c r="U26" s="200"/>
      <c r="V26" s="200"/>
      <c r="W26" s="48"/>
      <c r="X26" s="48"/>
      <c r="Y26" s="267" t="s">
        <v>70</v>
      </c>
      <c r="Z26" s="266" t="s">
        <v>71</v>
      </c>
    </row>
    <row r="27" spans="2:26" ht="15.75" thickBot="1">
      <c r="B27" s="49"/>
      <c r="C27" s="55" t="s">
        <v>78</v>
      </c>
      <c r="D27" s="200"/>
      <c r="E27" s="200"/>
      <c r="F27" s="50"/>
      <c r="G27" s="50"/>
      <c r="H27" s="200"/>
      <c r="I27" s="200"/>
      <c r="J27" s="38" t="s">
        <v>168</v>
      </c>
      <c r="K27" s="39" t="s">
        <v>72</v>
      </c>
      <c r="L27" s="267"/>
      <c r="M27" s="266"/>
      <c r="O27" s="49"/>
      <c r="P27" s="55" t="s">
        <v>79</v>
      </c>
      <c r="Q27" s="200"/>
      <c r="R27" s="215"/>
      <c r="S27" s="200"/>
      <c r="T27" s="200"/>
      <c r="U27" s="200"/>
      <c r="V27" s="200"/>
      <c r="W27" s="38" t="s">
        <v>168</v>
      </c>
      <c r="X27" s="39" t="s">
        <v>72</v>
      </c>
      <c r="Y27" s="267"/>
      <c r="Z27" s="266"/>
    </row>
    <row r="28" spans="2:26" s="40" customFormat="1" ht="19.5" customHeight="1">
      <c r="B28" s="140" t="s">
        <v>33</v>
      </c>
      <c r="C28" s="181">
        <f>_xlfn.IFERROR(INDEX(C7:C10,MATCH(3,K7:K10,0)),"")</f>
      </c>
      <c r="D28" s="202"/>
      <c r="E28" s="203"/>
      <c r="F28" s="57"/>
      <c r="G28" s="56">
        <f>IF(grille!G38&lt;&gt;"",grille!G38,"")</f>
      </c>
      <c r="H28" s="57"/>
      <c r="I28" s="56">
        <f>IF(grille!G48&lt;&gt;"",grille!G48,"")</f>
      </c>
      <c r="J28" s="194">
        <f>CalculPointMatchs(D28,D29,G28,G30,I28,I31)</f>
      </c>
      <c r="K28" s="182">
        <f>IF(AND(J28&lt;&gt;"",J29&lt;&gt;"",J30&lt;&gt;"",J31&lt;&gt;""),RANK(J28,J$28:J$31),"")</f>
      </c>
      <c r="L28" s="183">
        <f>SUM(D29,G30,I31)</f>
        <v>0</v>
      </c>
      <c r="M28" s="184">
        <f>SUM(D28:I28)</f>
        <v>0</v>
      </c>
      <c r="N28" s="42"/>
      <c r="O28" s="140" t="s">
        <v>31</v>
      </c>
      <c r="P28" s="181">
        <f>_xlfn.IFERROR(INDEX(C14:C17,MATCH(3,K14:K17,0)),"")</f>
      </c>
      <c r="Q28" s="202"/>
      <c r="R28" s="203"/>
      <c r="S28" s="57"/>
      <c r="T28" s="56">
        <f>IF(grille!G39&lt;&gt;"",grille!G39,"")</f>
      </c>
      <c r="U28" s="57"/>
      <c r="V28" s="56">
        <f>IF(grille!G49&lt;&gt;"",grille!G49,"")</f>
        <v>0</v>
      </c>
      <c r="W28" s="194">
        <f>CalculPointMatchs(Q28,Q29,T28,T30,V28,V31)</f>
      </c>
      <c r="X28" s="182">
        <f>IF(AND(W28&lt;&gt;"",W29&lt;&gt;"",W30&lt;&gt;"",W31&lt;&gt;""),RANK(W28,W$28:W$31),"")</f>
      </c>
      <c r="Y28" s="183">
        <f>SUM(Q29,T30,V31)</f>
        <v>0</v>
      </c>
      <c r="Z28" s="184">
        <f>SUM(Q28:V28)</f>
        <v>0</v>
      </c>
    </row>
    <row r="29" spans="2:26" s="40" customFormat="1" ht="19.5" customHeight="1">
      <c r="B29" s="141" t="s">
        <v>80</v>
      </c>
      <c r="C29" s="179">
        <f>_xlfn.IFERROR(INDEX(C7:C10,MATCH(4,K7:K10,0)),"")</f>
      </c>
      <c r="D29" s="206"/>
      <c r="E29" s="205"/>
      <c r="F29" s="59">
        <f>IF(grille!G36&lt;&gt;"",grille!G36,"")</f>
      </c>
      <c r="G29" s="58"/>
      <c r="H29" s="59">
        <f>IF(grille!G46&lt;&gt;"",grille!G46,"")</f>
      </c>
      <c r="I29" s="178"/>
      <c r="J29" s="195">
        <f>CalculPointMatchs(D29,D28,F29,F31,H29,H30)</f>
      </c>
      <c r="K29" s="177">
        <f>IF(AND(J28&lt;&gt;"",J29&lt;&gt;"",J30&lt;&gt;"",J31&lt;&gt;""),RANK(J29,J$28:J$31),"")</f>
      </c>
      <c r="L29" s="41">
        <f>SUM(D28,F31,H30)</f>
        <v>0</v>
      </c>
      <c r="M29" s="185">
        <f>SUM(D29:I29)</f>
        <v>0</v>
      </c>
      <c r="N29" s="42"/>
      <c r="O29" s="141" t="s">
        <v>82</v>
      </c>
      <c r="P29" s="179">
        <f>_xlfn.IFERROR(INDEX(C14:C17,MATCH(4,K14:K17,0)),"")</f>
      </c>
      <c r="Q29" s="206"/>
      <c r="R29" s="205"/>
      <c r="S29" s="59">
        <f>IF(grille!G37&lt;&gt;"",grille!G37,"")</f>
        <v>0</v>
      </c>
      <c r="T29" s="58"/>
      <c r="U29" s="59">
        <f>IF(grille!G47&lt;&gt;"",grille!G47,"")</f>
      </c>
      <c r="V29" s="178"/>
      <c r="W29" s="195">
        <f>CalculPointMatchs(Q29,Q28,S29,S31,U29,U30)</f>
      </c>
      <c r="X29" s="177">
        <f>IF(AND(W28&lt;&gt;"",W29&lt;&gt;"",W30&lt;&gt;"",W31&lt;&gt;""),RANK(W29,W$28:W$31),"")</f>
      </c>
      <c r="Y29" s="41">
        <f>SUM(Q28,S31,U30)</f>
        <v>0</v>
      </c>
      <c r="Z29" s="185">
        <f>SUM(Q29:V29)</f>
        <v>0</v>
      </c>
    </row>
    <row r="30" spans="2:26" s="40" customFormat="1" ht="19.5" customHeight="1">
      <c r="B30" s="141" t="s">
        <v>34</v>
      </c>
      <c r="C30" s="179">
        <f>_xlfn.IFERROR(INDEX(P7:P10,MATCH(3,X7:X10,0)),"")</f>
      </c>
      <c r="D30" s="205"/>
      <c r="E30" s="206"/>
      <c r="F30" s="58"/>
      <c r="G30" s="59">
        <f>IF(grille!H38&lt;&gt;"",grille!H38,"")</f>
      </c>
      <c r="H30" s="59">
        <f>IF(grille!H46&lt;&gt;"",grille!H46,"")</f>
      </c>
      <c r="I30" s="178"/>
      <c r="J30" s="195">
        <f>CalculPointMatchs(E30,E31,G30,G28,H30,H29)</f>
      </c>
      <c r="K30" s="177">
        <f>IF(AND(J28&lt;&gt;"",J29&lt;&gt;"",J30&lt;&gt;"",J31&lt;&gt;""),RANK(J30,J$28:J$31),"")</f>
      </c>
      <c r="L30" s="41">
        <f>SUM(E31,G28,H29)</f>
        <v>0</v>
      </c>
      <c r="M30" s="185">
        <f>SUM(D30:I30)</f>
        <v>0</v>
      </c>
      <c r="N30" s="42"/>
      <c r="O30" s="141" t="s">
        <v>32</v>
      </c>
      <c r="P30" s="179">
        <f>_xlfn.IFERROR(INDEX(P14:P17,MATCH(3,X14:X17,0)),"")</f>
      </c>
      <c r="Q30" s="205"/>
      <c r="R30" s="206"/>
      <c r="S30" s="58"/>
      <c r="T30" s="59">
        <f>IF(grille!H39&lt;&gt;"",grille!H39,"")</f>
      </c>
      <c r="U30" s="59">
        <f>IF(grille!H47&lt;&gt;"",grille!H47,"")</f>
      </c>
      <c r="V30" s="178"/>
      <c r="W30" s="195">
        <f>CalculPointMatchs(R30,R31,T30,T28,U30,U29)</f>
      </c>
      <c r="X30" s="177">
        <f>IF(AND(W28&lt;&gt;"",W29&lt;&gt;"",W30&lt;&gt;"",W31&lt;&gt;""),RANK(W30,W$28:W$31),"")</f>
      </c>
      <c r="Y30" s="41">
        <f>SUM(R31,T28,U29)</f>
        <v>0</v>
      </c>
      <c r="Z30" s="185">
        <f>SUM(Q30:V30)</f>
        <v>0</v>
      </c>
    </row>
    <row r="31" spans="2:26" s="40" customFormat="1" ht="19.5" customHeight="1" thickBot="1">
      <c r="B31" s="142" t="s">
        <v>81</v>
      </c>
      <c r="C31" s="186">
        <f>_xlfn.IFERROR(INDEX(P7:P10,MATCH(4,X7:X10,0)),"")</f>
      </c>
      <c r="D31" s="207"/>
      <c r="E31" s="208"/>
      <c r="F31" s="62">
        <f>IF(grille!H36&lt;&gt;"",grille!H36,"")</f>
      </c>
      <c r="G31" s="61"/>
      <c r="H31" s="61"/>
      <c r="I31" s="62">
        <f>IF(grille!H48&lt;&gt;"",grille!H48,"")</f>
      </c>
      <c r="J31" s="196">
        <f>CalculPointMatchs(E31,E30,F31,F29,I31,I28)</f>
      </c>
      <c r="K31" s="187">
        <f>IF(AND(J28&lt;&gt;"",J29&lt;&gt;"",J30&lt;&gt;"",J31&lt;&gt;""),RANK(J31,J$28:J$31),"")</f>
      </c>
      <c r="L31" s="188">
        <f>SUM(E30,F29,I28)</f>
        <v>0</v>
      </c>
      <c r="M31" s="189">
        <f>SUM(D31:I31)</f>
        <v>0</v>
      </c>
      <c r="N31" s="42"/>
      <c r="O31" s="142" t="s">
        <v>83</v>
      </c>
      <c r="P31" s="186">
        <f>_xlfn.IFERROR(INDEX(P14:P17,MATCH(4,X14:X17,0)),"")</f>
      </c>
      <c r="Q31" s="207"/>
      <c r="R31" s="208"/>
      <c r="S31" s="62" t="str">
        <f>IF(grille!H37&lt;&gt;"",grille!H37,"")</f>
        <v>F</v>
      </c>
      <c r="T31" s="61"/>
      <c r="U31" s="61"/>
      <c r="V31" s="62" t="str">
        <f>IF(grille!H49&lt;&gt;"",grille!H49,"")</f>
        <v>F</v>
      </c>
      <c r="W31" s="196">
        <f>CalculPointMatchs(R31,R30,S31,S29,V31,V28)</f>
      </c>
      <c r="X31" s="187">
        <f>IF(AND(W28&lt;&gt;"",W29&lt;&gt;"",W30&lt;&gt;"",W31&lt;&gt;""),RANK(W31,W$28:W$31),"")</f>
      </c>
      <c r="Y31" s="188">
        <f>SUM(R30,S29,V28)</f>
        <v>0</v>
      </c>
      <c r="Z31" s="189">
        <f>SUM(Q31:V31)</f>
        <v>0</v>
      </c>
    </row>
    <row r="32" spans="2:26" ht="15.75">
      <c r="B32" s="52"/>
      <c r="C32" s="52"/>
      <c r="D32" s="209"/>
      <c r="E32" s="209"/>
      <c r="F32" s="197"/>
      <c r="G32" s="197"/>
      <c r="H32" s="209"/>
      <c r="I32" s="209"/>
      <c r="J32" s="52"/>
      <c r="K32" s="52"/>
      <c r="L32" s="52"/>
      <c r="M32" s="52"/>
      <c r="N32" s="49"/>
      <c r="O32" s="49"/>
      <c r="P32" s="49"/>
      <c r="Q32" s="200"/>
      <c r="R32" s="200"/>
      <c r="S32" s="200"/>
      <c r="T32" s="200"/>
      <c r="U32" s="200"/>
      <c r="V32" s="200"/>
      <c r="W32" s="49"/>
      <c r="X32" s="49"/>
      <c r="Y32" s="49"/>
      <c r="Z32" s="49"/>
    </row>
    <row r="33" spans="2:26" ht="15.75">
      <c r="B33" s="49"/>
      <c r="C33" s="54"/>
      <c r="D33" s="200"/>
      <c r="E33" s="200"/>
      <c r="F33" s="50"/>
      <c r="G33" s="50"/>
      <c r="H33" s="200"/>
      <c r="I33" s="200"/>
      <c r="J33" s="48"/>
      <c r="K33" s="48"/>
      <c r="L33" s="267" t="s">
        <v>70</v>
      </c>
      <c r="M33" s="266" t="s">
        <v>71</v>
      </c>
      <c r="N33" s="49"/>
      <c r="O33" s="49"/>
      <c r="P33" s="54"/>
      <c r="Q33" s="200"/>
      <c r="R33" s="200"/>
      <c r="S33" s="200"/>
      <c r="T33" s="200"/>
      <c r="U33" s="200"/>
      <c r="V33" s="200"/>
      <c r="W33" s="48"/>
      <c r="X33" s="48"/>
      <c r="Y33" s="267" t="s">
        <v>70</v>
      </c>
      <c r="Z33" s="266" t="s">
        <v>71</v>
      </c>
    </row>
    <row r="34" spans="2:26" ht="15.75" thickBot="1">
      <c r="B34" s="49"/>
      <c r="C34" s="55" t="s">
        <v>85</v>
      </c>
      <c r="D34" s="200"/>
      <c r="E34" s="200"/>
      <c r="F34" s="50"/>
      <c r="G34" s="50"/>
      <c r="H34" s="200"/>
      <c r="I34" s="200"/>
      <c r="J34" s="38" t="s">
        <v>168</v>
      </c>
      <c r="K34" s="39" t="s">
        <v>72</v>
      </c>
      <c r="L34" s="267"/>
      <c r="M34" s="266"/>
      <c r="O34" s="49"/>
      <c r="P34" s="55" t="s">
        <v>86</v>
      </c>
      <c r="Q34" s="200"/>
      <c r="R34" s="215"/>
      <c r="S34" s="200"/>
      <c r="T34" s="200"/>
      <c r="U34" s="200"/>
      <c r="V34" s="200"/>
      <c r="W34" s="38" t="s">
        <v>168</v>
      </c>
      <c r="X34" s="39" t="s">
        <v>72</v>
      </c>
      <c r="Y34" s="267"/>
      <c r="Z34" s="266"/>
    </row>
    <row r="35" spans="2:26" s="40" customFormat="1" ht="19.5" customHeight="1">
      <c r="B35" s="143" t="s">
        <v>35</v>
      </c>
      <c r="C35" s="190">
        <f>_xlfn.IFERROR(INDEX(C21:C24,MATCH(2,K21:K24,0)),"")</f>
      </c>
      <c r="D35" s="202"/>
      <c r="E35" s="203"/>
      <c r="F35" s="57"/>
      <c r="G35" s="56">
        <f>IF(grille!G52&lt;&gt;"",grille!G52,"")</f>
      </c>
      <c r="H35" s="57"/>
      <c r="I35" s="56">
        <f>IF(grille!G59&lt;&gt;"",grille!G59,"")</f>
      </c>
      <c r="J35" s="194">
        <f>CalculPointMatchs(D35,D36,G35,G37,I35,I38)</f>
      </c>
      <c r="K35" s="182">
        <f>IF(AND(J35&lt;&gt;"",J36&lt;&gt;"",J37&lt;&gt;"",J38&lt;&gt;""),RANK(J35,J$35:J$38),"")</f>
      </c>
      <c r="L35" s="183">
        <f>SUM(D36,G37,I38)</f>
        <v>0</v>
      </c>
      <c r="M35" s="184">
        <f>SUM(D35:I35)</f>
        <v>0</v>
      </c>
      <c r="N35" s="42"/>
      <c r="O35" s="143" t="s">
        <v>87</v>
      </c>
      <c r="P35" s="190">
        <f>_xlfn.IFERROR(INDEX(C28:C31,MATCH(3,K28:K31,0)),"")</f>
      </c>
      <c r="Q35" s="202"/>
      <c r="R35" s="203"/>
      <c r="S35" s="57"/>
      <c r="T35" s="56">
        <f>IF(grille!G56&lt;&gt;"",grille!G56,"")</f>
      </c>
      <c r="U35" s="57"/>
      <c r="V35" s="56">
        <f>IF(grille!G64&lt;&gt;"",grille!G64,"")</f>
        <v>0</v>
      </c>
      <c r="W35" s="194">
        <f>CalculPointMatchs(Q35,Q36,T35,T37,V35,V38)</f>
      </c>
      <c r="X35" s="182">
        <f>IF(AND(W35&lt;&gt;"",W36&lt;&gt;"",W37&lt;&gt;"",W38&lt;&gt;""),RANK(W35,W$35:W$38),"")</f>
      </c>
      <c r="Y35" s="183">
        <f>SUM(Q36,T37,V38)</f>
        <v>0</v>
      </c>
      <c r="Z35" s="184">
        <f>SUM(Q35:V35)</f>
        <v>0</v>
      </c>
    </row>
    <row r="36" spans="2:26" s="40" customFormat="1" ht="19.5" customHeight="1">
      <c r="B36" s="144" t="s">
        <v>36</v>
      </c>
      <c r="C36" s="180">
        <f>_xlfn.IFERROR(INDEX(C21:C24,MATCH(3,K21:K24,0)),"")</f>
      </c>
      <c r="D36" s="206"/>
      <c r="E36" s="205"/>
      <c r="F36" s="59">
        <f>IF(grille!G50&lt;&gt;"",grille!G50,"")</f>
      </c>
      <c r="G36" s="58"/>
      <c r="H36" s="59">
        <f>IF(grille!G57&lt;&gt;"",grille!G57,"")</f>
      </c>
      <c r="I36" s="178"/>
      <c r="J36" s="195">
        <f>CalculPointMatchs(D36,D35,F36,F38,H36,H37)</f>
      </c>
      <c r="K36" s="177">
        <f>IF(AND(J35&lt;&gt;"",J36&lt;&gt;"",J37&lt;&gt;"",J38&lt;&gt;""),RANK(J36,J$35:J$38),"")</f>
      </c>
      <c r="L36" s="41">
        <f>SUM(D35,F38,H37)</f>
        <v>0</v>
      </c>
      <c r="M36" s="185">
        <f>SUM(D36:I36)</f>
        <v>0</v>
      </c>
      <c r="N36" s="42"/>
      <c r="O36" s="144" t="s">
        <v>88</v>
      </c>
      <c r="P36" s="180">
        <f>_xlfn.IFERROR(INDEX(C28:C31,MATCH(4,K28:K31,0)),"")</f>
      </c>
      <c r="Q36" s="206"/>
      <c r="R36" s="205"/>
      <c r="S36" s="59">
        <f>IF(grille!G55&lt;&gt;"",grille!G55,"")</f>
        <v>0</v>
      </c>
      <c r="T36" s="58"/>
      <c r="U36" s="59">
        <f>IF(grille!G66&lt;&gt;"",grille!G66,"")</f>
      </c>
      <c r="V36" s="178"/>
      <c r="W36" s="195">
        <f>CalculPointMatchs(Q36,Q35,S36,S38,U36,U37)</f>
      </c>
      <c r="X36" s="177">
        <f>IF(AND(W35&lt;&gt;"",W36&lt;&gt;"",W37&lt;&gt;"",W38&lt;&gt;""),RANK(W36,W$35:W$38),"")</f>
      </c>
      <c r="Y36" s="41">
        <f>SUM(Q35,S38,U37)</f>
        <v>0</v>
      </c>
      <c r="Z36" s="185">
        <f>SUM(Q36:V36)</f>
        <v>0</v>
      </c>
    </row>
    <row r="37" spans="2:26" s="40" customFormat="1" ht="19.5" customHeight="1">
      <c r="B37" s="144" t="s">
        <v>40</v>
      </c>
      <c r="C37" s="180">
        <f>_xlfn.IFERROR(INDEX(P21:P24,MATCH(2,X21:X24,0)),"")</f>
      </c>
      <c r="D37" s="205"/>
      <c r="E37" s="206"/>
      <c r="F37" s="58"/>
      <c r="G37" s="59">
        <f>IF(grille!H52&lt;&gt;"",grille!H52,"")</f>
      </c>
      <c r="H37" s="59">
        <f>IF(grille!H57&lt;&gt;"",grille!H57,"")</f>
      </c>
      <c r="I37" s="178"/>
      <c r="J37" s="195">
        <f>CalculPointMatchs(E37,E38,G37,G35,H37,H36)</f>
      </c>
      <c r="K37" s="177">
        <f>IF(AND(J35&lt;&gt;"",J36&lt;&gt;"",J37&lt;&gt;"",J38&lt;&gt;""),RANK(J37,J$35:J$38),"")</f>
      </c>
      <c r="L37" s="41">
        <f>SUM(E38,G35,H36)</f>
        <v>0</v>
      </c>
      <c r="M37" s="185">
        <f>SUM(D37:I37)</f>
        <v>0</v>
      </c>
      <c r="N37" s="42"/>
      <c r="O37" s="144" t="s">
        <v>89</v>
      </c>
      <c r="P37" s="180">
        <f>_xlfn.IFERROR(INDEX(P28:P31,MATCH(3,X28:X31,0)),"")</f>
      </c>
      <c r="Q37" s="205"/>
      <c r="R37" s="206"/>
      <c r="S37" s="58"/>
      <c r="T37" s="59">
        <f>IF(grille!H56&lt;&gt;"",grille!H56,"")</f>
      </c>
      <c r="U37" s="59">
        <f>IF(grille!H66&lt;&gt;"",grille!H66,"")</f>
      </c>
      <c r="V37" s="178"/>
      <c r="W37" s="195">
        <f>CalculPointMatchs(R37,R38,T37,T35,U37,U36)</f>
      </c>
      <c r="X37" s="177">
        <f>IF(AND(W35&lt;&gt;"",W36&lt;&gt;"",W37&lt;&gt;"",W38&lt;&gt;""),RANK(W37,W$35:W$38),"")</f>
      </c>
      <c r="Y37" s="41">
        <f>SUM(R38,T35,U36)</f>
        <v>0</v>
      </c>
      <c r="Z37" s="185">
        <f>SUM(Q37:V37)</f>
        <v>0</v>
      </c>
    </row>
    <row r="38" spans="2:26" s="40" customFormat="1" ht="19.5" customHeight="1" thickBot="1">
      <c r="B38" s="145" t="s">
        <v>39</v>
      </c>
      <c r="C38" s="191">
        <f>_xlfn.IFERROR(INDEX(P21:P24,MATCH(3,X21:X24,0)),"")</f>
      </c>
      <c r="D38" s="207"/>
      <c r="E38" s="208"/>
      <c r="F38" s="62">
        <f>IF(grille!H50&lt;&gt;"",grille!H50,"")</f>
      </c>
      <c r="G38" s="61"/>
      <c r="H38" s="61"/>
      <c r="I38" s="62">
        <f>IF(grille!H59&lt;&gt;"",grille!H59,"")</f>
      </c>
      <c r="J38" s="196">
        <f>CalculPointMatchs(E38,E37,F38,F36,I38,I35)</f>
      </c>
      <c r="K38" s="187">
        <f>IF(AND(J35&lt;&gt;"",J36&lt;&gt;"",J37&lt;&gt;"",J38&lt;&gt;""),RANK(J38,J$35:J$38),"")</f>
      </c>
      <c r="L38" s="188">
        <f>SUM(E37,F36,I35)</f>
        <v>0</v>
      </c>
      <c r="M38" s="189">
        <f>SUM(D38:I38)</f>
        <v>0</v>
      </c>
      <c r="N38" s="42"/>
      <c r="O38" s="145" t="s">
        <v>90</v>
      </c>
      <c r="P38" s="191">
        <f>_xlfn.IFERROR(INDEX(P28:P31,MATCH(4,X28:X31,0)),"")</f>
      </c>
      <c r="Q38" s="207"/>
      <c r="R38" s="208"/>
      <c r="S38" s="62" t="str">
        <f>IF(grille!H55&lt;&gt;"",grille!H55,"")</f>
        <v>F</v>
      </c>
      <c r="T38" s="61"/>
      <c r="U38" s="61"/>
      <c r="V38" s="62" t="str">
        <f>IF(grille!H64&lt;&gt;"",grille!H64,"")</f>
        <v>F</v>
      </c>
      <c r="W38" s="196">
        <f>CalculPointMatchs(R38,R37,S38,S36,V38,V35)</f>
      </c>
      <c r="X38" s="187">
        <f>IF(AND(W35&lt;&gt;"",W36&lt;&gt;"",W37&lt;&gt;"",W38&lt;&gt;""),RANK(W38,W$35:W$38),"")</f>
      </c>
      <c r="Y38" s="188">
        <f>SUM(R37,S36,V35)</f>
        <v>0</v>
      </c>
      <c r="Z38" s="189">
        <f>SUM(Q38:V38)</f>
        <v>0</v>
      </c>
    </row>
    <row r="39" spans="2:25" s="66" customFormat="1" ht="17.25">
      <c r="B39" s="67"/>
      <c r="C39" s="67"/>
      <c r="D39" s="68" t="s">
        <v>93</v>
      </c>
      <c r="E39" s="68" t="s">
        <v>91</v>
      </c>
      <c r="F39" s="21"/>
      <c r="G39" s="68" t="s">
        <v>94</v>
      </c>
      <c r="H39" s="68" t="s">
        <v>92</v>
      </c>
      <c r="I39" s="67"/>
      <c r="J39" s="67"/>
      <c r="K39" s="67"/>
      <c r="L39" s="67"/>
      <c r="M39" s="67"/>
      <c r="N39" s="67"/>
      <c r="O39" s="67"/>
      <c r="P39" s="67"/>
      <c r="Q39" s="68" t="s">
        <v>95</v>
      </c>
      <c r="R39" s="68" t="s">
        <v>96</v>
      </c>
      <c r="S39" s="21"/>
      <c r="T39" s="68" t="s">
        <v>97</v>
      </c>
      <c r="U39" s="68" t="s">
        <v>98</v>
      </c>
      <c r="V39" s="67"/>
      <c r="W39" s="68" t="s">
        <v>100</v>
      </c>
      <c r="X39" s="68" t="s">
        <v>99</v>
      </c>
      <c r="Y39" s="67"/>
    </row>
    <row r="40" spans="2:27" s="66" customFormat="1" ht="17.25">
      <c r="B40" s="67"/>
      <c r="C40" s="67"/>
      <c r="D40" s="68"/>
      <c r="E40" s="68"/>
      <c r="F40" s="21"/>
      <c r="G40" s="68"/>
      <c r="H40" s="68"/>
      <c r="I40" s="67"/>
      <c r="J40" s="67"/>
      <c r="K40" s="67"/>
      <c r="L40" s="67"/>
      <c r="M40" s="67"/>
      <c r="N40" s="67"/>
      <c r="O40" s="67"/>
      <c r="P40" s="67"/>
      <c r="Q40" s="68"/>
      <c r="R40" s="68"/>
      <c r="S40" s="21"/>
      <c r="T40" s="68"/>
      <c r="U40" s="68"/>
      <c r="V40" s="67"/>
      <c r="W40" s="68" t="s">
        <v>101</v>
      </c>
      <c r="X40" s="68" t="s">
        <v>102</v>
      </c>
      <c r="Y40" s="67"/>
      <c r="Z40" s="68"/>
      <c r="AA40" s="68"/>
    </row>
    <row r="41" spans="2:26" ht="15.75" customHeight="1">
      <c r="B41" s="49"/>
      <c r="C41" s="54"/>
      <c r="D41" s="49"/>
      <c r="E41" s="49"/>
      <c r="F41" s="50"/>
      <c r="G41" s="50"/>
      <c r="H41" s="49"/>
      <c r="I41" s="49"/>
      <c r="J41" s="48"/>
      <c r="K41" s="48"/>
      <c r="L41" s="267" t="s">
        <v>70</v>
      </c>
      <c r="M41" s="266" t="s">
        <v>71</v>
      </c>
      <c r="N41" s="49"/>
      <c r="O41" s="49"/>
      <c r="P41" s="49"/>
      <c r="Q41" s="49"/>
      <c r="R41" s="49"/>
      <c r="S41" s="49"/>
      <c r="U41" s="48"/>
      <c r="V41" s="272" t="s">
        <v>70</v>
      </c>
      <c r="W41" s="272"/>
      <c r="X41" s="272" t="s">
        <v>71</v>
      </c>
      <c r="Y41" s="272"/>
      <c r="Z41" s="49"/>
    </row>
    <row r="42" spans="2:26" ht="15.75" thickBot="1">
      <c r="B42" s="49"/>
      <c r="C42" s="55" t="s">
        <v>108</v>
      </c>
      <c r="D42" s="49"/>
      <c r="E42" s="49"/>
      <c r="F42" s="50"/>
      <c r="G42" s="50"/>
      <c r="H42" s="49"/>
      <c r="I42" s="49"/>
      <c r="J42" s="38" t="s">
        <v>168</v>
      </c>
      <c r="K42" s="39" t="s">
        <v>72</v>
      </c>
      <c r="L42" s="267"/>
      <c r="M42" s="266"/>
      <c r="N42" s="49"/>
      <c r="O42" s="49"/>
      <c r="P42" s="51" t="s">
        <v>84</v>
      </c>
      <c r="Q42" s="49"/>
      <c r="R42" s="49"/>
      <c r="S42" s="50"/>
      <c r="T42" s="38" t="s">
        <v>168</v>
      </c>
      <c r="U42" s="39" t="s">
        <v>72</v>
      </c>
      <c r="V42" s="272"/>
      <c r="W42" s="272"/>
      <c r="X42" s="272"/>
      <c r="Y42" s="272"/>
      <c r="Z42" s="49"/>
    </row>
    <row r="43" spans="2:25" ht="20.25" customHeight="1">
      <c r="B43" s="148" t="s">
        <v>104</v>
      </c>
      <c r="C43" s="246">
        <f>_xlfn.IFERROR(INDEX(C28:C31,MATCH(1,K28:K31,0)),"")</f>
      </c>
      <c r="D43" s="202"/>
      <c r="E43" s="203"/>
      <c r="F43" s="56">
        <f>IF(grille!G53&lt;&gt;"",grille!G53,"")</f>
      </c>
      <c r="G43" s="57"/>
      <c r="H43" s="56">
        <f>IF(grille!G60&lt;&gt;"",grille!G60,"")</f>
      </c>
      <c r="I43" s="57"/>
      <c r="J43" s="56">
        <f>CalculPointMatchs(D43,D44,F43,F45,H43,H46)</f>
      </c>
      <c r="K43" s="182">
        <f>IF(AND(J43&lt;&gt;"",J44&lt;&gt;"",J45&lt;&gt;"",J46&lt;&gt;""),RANK(J43,J$43:J$46),"")</f>
      </c>
      <c r="L43" s="183">
        <f>SUM(D44,G45,I46)</f>
        <v>0</v>
      </c>
      <c r="M43" s="184">
        <f>SUM(D43:I43)</f>
        <v>0</v>
      </c>
      <c r="N43" s="49"/>
      <c r="O43" s="151" t="s">
        <v>37</v>
      </c>
      <c r="P43" s="246">
        <f>_xlfn.IFERROR(INDEX(C21:C24,MATCH(4,K21:K24,0)),"")</f>
      </c>
      <c r="Q43" s="210">
        <f>IF(grille!G54&lt;&gt;"",grille!G54,"")</f>
      </c>
      <c r="R43" s="211"/>
      <c r="S43" s="56">
        <f>IF(grille!H62&lt;&gt;"",grille!H62,"")</f>
      </c>
      <c r="T43" s="56">
        <f>CalculPointMatchs(Q43,Q44,S43,S45)</f>
      </c>
      <c r="U43" s="182">
        <f>IF(AND(T43&lt;&gt;"",T44&lt;&gt;"",T45&lt;&gt;""),RANK(T43,T$43:T$45),"")</f>
      </c>
      <c r="V43" s="273">
        <f>SUM(Q44,S45)</f>
        <v>0</v>
      </c>
      <c r="W43" s="273"/>
      <c r="X43" s="273">
        <f>SUM(Q43:S43)</f>
        <v>0</v>
      </c>
      <c r="Y43" s="274"/>
    </row>
    <row r="44" spans="2:28" ht="20.25" customHeight="1">
      <c r="B44" s="149" t="s">
        <v>105</v>
      </c>
      <c r="C44" s="247">
        <f>_xlfn.IFERROR(INDEX(C28:C31,MATCH(2,K28:K31,0)),"")</f>
      </c>
      <c r="D44" s="206"/>
      <c r="E44" s="205"/>
      <c r="F44" s="58"/>
      <c r="G44" s="59">
        <f>IF(grille!G51&lt;&gt;"",grille!G51,"")</f>
      </c>
      <c r="H44" s="58"/>
      <c r="I44" s="59">
        <f>IF(grille!G58&lt;&gt;"",grille!G58,"")</f>
      </c>
      <c r="J44" s="59">
        <f>CalculPointMatchs(D44,D43,G44,G46,I44,I45)</f>
      </c>
      <c r="K44" s="177">
        <f>IF(AND(J43&lt;&gt;"",J44&lt;&gt;"",J45&lt;&gt;"",J46&lt;&gt;""),RANK(J44,J$43:J$46),"")</f>
      </c>
      <c r="L44" s="41">
        <f>SUM(D43,F46,H45)</f>
        <v>0</v>
      </c>
      <c r="M44" s="185">
        <f>SUM(D44:I44)</f>
        <v>0</v>
      </c>
      <c r="N44" s="49"/>
      <c r="O44" s="149" t="s">
        <v>38</v>
      </c>
      <c r="P44" s="247">
        <f>_xlfn.IFERROR(INDEX(P21:P24,MATCH(4,X21:X24,0)),"")</f>
      </c>
      <c r="Q44" s="212">
        <f>IF(grille!H54&lt;&gt;"",grille!H54,"")</f>
      </c>
      <c r="R44" s="212">
        <f>IF(grille!H65&lt;&gt;"",grille!H65,"")</f>
      </c>
      <c r="S44" s="58"/>
      <c r="T44" s="59">
        <f>CalculPointMatchs(Q44,Q43,R44,R45)</f>
      </c>
      <c r="U44" s="177">
        <f>IF(AND(T43&lt;&gt;"",T44&lt;&gt;"",T45&lt;&gt;""),RANK(T44,T$43:T$45),"")</f>
      </c>
      <c r="V44" s="275">
        <f>SUM(Q43,R45)</f>
        <v>0</v>
      </c>
      <c r="W44" s="275"/>
      <c r="X44" s="275">
        <f>SUM(Q44:S44)</f>
        <v>0</v>
      </c>
      <c r="Y44" s="276"/>
      <c r="Z44" s="49"/>
      <c r="AA44" s="49"/>
      <c r="AB44" s="49"/>
    </row>
    <row r="45" spans="2:28" ht="20.25" customHeight="1" thickBot="1">
      <c r="B45" s="149" t="s">
        <v>106</v>
      </c>
      <c r="C45" s="247">
        <f>_xlfn.IFERROR(INDEX(P28:P31,MATCH(1,X28:X31,0)),"")</f>
      </c>
      <c r="D45" s="205"/>
      <c r="E45" s="206"/>
      <c r="F45" s="59">
        <f>IF(grille!H53&lt;&gt;"",grille!H53,"")</f>
      </c>
      <c r="G45" s="58"/>
      <c r="H45" s="58"/>
      <c r="I45" s="59">
        <f>IF(grille!H58&lt;&gt;"",grille!H58,"")</f>
      </c>
      <c r="J45" s="59">
        <f>CalculPointMatchs(E45,E46,F45,F43,I45,I44)</f>
      </c>
      <c r="K45" s="177">
        <f>IF(AND(J43&lt;&gt;"",J44&lt;&gt;"",J45&lt;&gt;"",J46&lt;&gt;""),RANK(J45,J$43:J$46),"")</f>
      </c>
      <c r="L45" s="41">
        <f>SUM(E46,G43,H44)</f>
        <v>0</v>
      </c>
      <c r="M45" s="185">
        <f>SUM(D45:I45)</f>
        <v>0</v>
      </c>
      <c r="N45" s="49"/>
      <c r="O45" s="150" t="s">
        <v>103</v>
      </c>
      <c r="P45" s="248">
        <f>_xlfn.IFERROR(INDEX(C43:C46,MATCH(1,K43:K46,0)),"")</f>
      </c>
      <c r="Q45" s="213"/>
      <c r="R45" s="214">
        <f>IF(grille!G65&lt;&gt;"",grille!G65,"")</f>
      </c>
      <c r="S45" s="62">
        <f>IF(grille!G62&lt;&gt;"",grille!G62,"")</f>
      </c>
      <c r="T45" s="62">
        <f>CalculPointMatchs(R45,R44,S45,S43)</f>
      </c>
      <c r="U45" s="187">
        <f>IF(AND(T43&lt;&gt;"",T44&lt;&gt;"",T45&lt;&gt;""),RANK(T45,T$43:T$45),"")</f>
      </c>
      <c r="V45" s="277">
        <f>SUM(R44,S43)</f>
        <v>0</v>
      </c>
      <c r="W45" s="277"/>
      <c r="X45" s="277">
        <f>SUM(Q45:S45)</f>
        <v>0</v>
      </c>
      <c r="Y45" s="278"/>
      <c r="AB45" s="49"/>
    </row>
    <row r="46" spans="2:28" ht="20.25" customHeight="1" thickBot="1">
      <c r="B46" s="150" t="s">
        <v>107</v>
      </c>
      <c r="C46" s="248">
        <f>_xlfn.IFERROR(INDEX(P28:P31,MATCH(2,X28:X31,0)),"")</f>
      </c>
      <c r="D46" s="207"/>
      <c r="E46" s="208"/>
      <c r="F46" s="61"/>
      <c r="G46" s="62">
        <f>IF(grille!H51&lt;&gt;"",grille!H51,"")</f>
      </c>
      <c r="H46" s="62">
        <f>IF(grille!H60&lt;&gt;"",grille!H60,"")</f>
      </c>
      <c r="I46" s="61"/>
      <c r="J46" s="62">
        <f>CalculPointMatchs(E46,E45,G46,G44,H46,H43)</f>
      </c>
      <c r="K46" s="187">
        <f>IF(AND(J43&lt;&gt;"",J44&lt;&gt;"",J45&lt;&gt;"",J46&lt;&gt;""),RANK(J46,J$43:J$46),"")</f>
      </c>
      <c r="L46" s="188">
        <f>SUM(E45,F44,I43)</f>
        <v>0</v>
      </c>
      <c r="M46" s="189">
        <f>SUM(D46:I46)</f>
        <v>0</v>
      </c>
      <c r="N46" s="49"/>
      <c r="O46" s="49"/>
      <c r="Q46" s="68" t="s">
        <v>115</v>
      </c>
      <c r="R46" s="68" t="s">
        <v>201</v>
      </c>
      <c r="S46" s="21"/>
      <c r="T46" s="68" t="s">
        <v>117</v>
      </c>
      <c r="U46" s="68" t="s">
        <v>119</v>
      </c>
      <c r="V46" s="66"/>
      <c r="W46" s="68" t="s">
        <v>116</v>
      </c>
      <c r="X46" s="68" t="s">
        <v>118</v>
      </c>
      <c r="AB46" s="49"/>
    </row>
    <row r="47" spans="2:28" s="66" customFormat="1" ht="17.25">
      <c r="B47" s="67"/>
      <c r="C47" s="67"/>
      <c r="D47" s="68" t="s">
        <v>109</v>
      </c>
      <c r="E47" s="68" t="s">
        <v>110</v>
      </c>
      <c r="F47" s="21"/>
      <c r="G47" s="68" t="s">
        <v>111</v>
      </c>
      <c r="H47" s="68" t="s">
        <v>112</v>
      </c>
      <c r="I47" s="67"/>
      <c r="J47" s="68" t="s">
        <v>113</v>
      </c>
      <c r="K47" s="68" t="s">
        <v>114</v>
      </c>
      <c r="L47" s="67"/>
      <c r="M47" s="67"/>
      <c r="N47" s="67"/>
      <c r="O47" s="67"/>
      <c r="S47" s="67"/>
      <c r="T47" s="68"/>
      <c r="U47" s="68"/>
      <c r="AB47" s="67"/>
    </row>
    <row r="48" spans="2:19" ht="15">
      <c r="B48" s="49"/>
      <c r="C48" s="49"/>
      <c r="F48" s="43"/>
      <c r="G48" s="43"/>
      <c r="S48" s="49"/>
    </row>
    <row r="49" spans="2:24" ht="15.75" thickBot="1">
      <c r="B49" s="49"/>
      <c r="C49" s="49"/>
      <c r="D49" s="49" t="s">
        <v>58</v>
      </c>
      <c r="E49" s="49"/>
      <c r="F49" s="49"/>
      <c r="G49" s="43"/>
      <c r="I49" s="49" t="s">
        <v>59</v>
      </c>
      <c r="J49" s="49"/>
      <c r="K49" s="49"/>
      <c r="L49" s="49"/>
      <c r="M49" s="49"/>
      <c r="O49" s="49"/>
      <c r="P49" s="49" t="s">
        <v>60</v>
      </c>
      <c r="Q49" s="49"/>
      <c r="R49" s="49"/>
      <c r="S49" s="49"/>
      <c r="T49" s="49" t="s">
        <v>61</v>
      </c>
      <c r="U49" s="49"/>
      <c r="V49" s="49"/>
      <c r="W49" s="49"/>
      <c r="X49" s="49"/>
    </row>
    <row r="50" spans="2:26" ht="25.5" customHeight="1">
      <c r="B50" s="53" t="s">
        <v>41</v>
      </c>
      <c r="C50" s="216">
        <f>_xlfn.IFERROR(INDEX(C21:C24,MATCH(1,K21:K24,0)),"")</f>
      </c>
      <c r="D50" s="198">
        <f>IF(grille!G61&lt;&gt;"",grille!G61,"")</f>
      </c>
      <c r="F50" s="43"/>
      <c r="G50" s="53" t="s">
        <v>42</v>
      </c>
      <c r="H50" s="270">
        <f>_xlfn.IFERROR(INDEX(P21:P24,MATCH(1,X21:X24,0)),"")</f>
      </c>
      <c r="I50" s="270"/>
      <c r="J50" s="270"/>
      <c r="K50" s="270"/>
      <c r="L50" s="198">
        <f>IF(grille!H63&lt;&gt;"",grille!H63,"")</f>
      </c>
      <c r="N50" s="53" t="s">
        <v>43</v>
      </c>
      <c r="O50" s="270">
        <f>Perdant(C50:D51)</f>
      </c>
      <c r="P50" s="270"/>
      <c r="Q50" s="198">
        <f>IF(grille!G67&lt;&gt;"",grille!G67,"")</f>
      </c>
      <c r="S50" s="53" t="s">
        <v>44</v>
      </c>
      <c r="T50" s="270">
        <f>Gagnant(C50:D51)</f>
      </c>
      <c r="U50" s="270"/>
      <c r="V50" s="270"/>
      <c r="W50" s="270"/>
      <c r="X50" s="270"/>
      <c r="Y50" s="270"/>
      <c r="Z50" s="198">
        <f>IF(grille!G68&lt;&gt;"",grille!G68,"")</f>
      </c>
    </row>
    <row r="51" spans="2:26" ht="25.5" customHeight="1" thickBot="1">
      <c r="B51" s="60" t="s">
        <v>48</v>
      </c>
      <c r="C51" s="217">
        <f>_xlfn.IFERROR(INDEX(C35:C38,MATCH(2,K35:K38,0)),"")</f>
      </c>
      <c r="D51" s="199">
        <f>IF(grille!H61&lt;&gt;"",grille!H61,"")</f>
      </c>
      <c r="F51" s="43"/>
      <c r="G51" s="60" t="s">
        <v>47</v>
      </c>
      <c r="H51" s="271">
        <f>_xlfn.IFERROR(INDEX(C35:C38,MATCH(1,K35:K38,0)),"")</f>
      </c>
      <c r="I51" s="271"/>
      <c r="J51" s="271"/>
      <c r="K51" s="271"/>
      <c r="L51" s="199">
        <f>IF(grille!G63&lt;&gt;"",grille!G63,"")</f>
      </c>
      <c r="N51" s="60" t="s">
        <v>46</v>
      </c>
      <c r="O51" s="271">
        <f>Perdant(H50:L51)</f>
      </c>
      <c r="P51" s="271"/>
      <c r="Q51" s="199">
        <f>IF(grille!H67&lt;&gt;"",grille!H67,"")</f>
      </c>
      <c r="S51" s="60" t="s">
        <v>45</v>
      </c>
      <c r="T51" s="271">
        <f>Gagnant(H50:L51)</f>
      </c>
      <c r="U51" s="271"/>
      <c r="V51" s="271"/>
      <c r="W51" s="271"/>
      <c r="X51" s="271"/>
      <c r="Y51" s="271"/>
      <c r="Z51" s="199">
        <f>IF(grille!H68&lt;&gt;"",grille!H68,"")</f>
      </c>
    </row>
    <row r="52" spans="2:20" ht="22.5" customHeight="1">
      <c r="B52" s="49"/>
      <c r="C52" s="49"/>
      <c r="F52" s="43"/>
      <c r="G52" s="43"/>
      <c r="H52" s="169"/>
      <c r="I52" s="170"/>
      <c r="J52" s="169"/>
      <c r="K52" s="169"/>
      <c r="P52" s="49"/>
      <c r="Q52" s="49"/>
      <c r="R52" s="49"/>
      <c r="S52" s="49"/>
      <c r="T52" s="49"/>
    </row>
    <row r="53" ht="15">
      <c r="B53" s="64" t="s">
        <v>64</v>
      </c>
    </row>
    <row r="54" spans="2:3" ht="15">
      <c r="B54" s="64"/>
      <c r="C54" s="40" t="s">
        <v>165</v>
      </c>
    </row>
    <row r="55" ht="15">
      <c r="C55" s="43" t="s">
        <v>62</v>
      </c>
    </row>
    <row r="56" ht="15">
      <c r="C56" s="40" t="s">
        <v>63</v>
      </c>
    </row>
    <row r="57" spans="1:26" ht="15.75" customHeight="1">
      <c r="A57" s="47"/>
      <c r="B57" s="269" t="s">
        <v>120</v>
      </c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5.7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5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3.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5">
      <c r="A61" s="47"/>
      <c r="B61" s="47"/>
      <c r="C61" s="47"/>
      <c r="D61" s="47"/>
      <c r="E61" s="47"/>
      <c r="F61" s="65"/>
      <c r="G61" s="65"/>
      <c r="H61" s="47"/>
      <c r="I61" s="47"/>
      <c r="J61" s="47"/>
      <c r="K61" s="47"/>
      <c r="L61" s="47"/>
      <c r="M61" s="47"/>
      <c r="N61" s="47"/>
      <c r="O61" s="42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">
      <c r="A62" s="47"/>
      <c r="B62" s="47"/>
      <c r="C62" s="47"/>
      <c r="D62" s="47"/>
      <c r="E62" s="47"/>
      <c r="F62" s="65"/>
      <c r="G62" s="65"/>
      <c r="H62" s="47"/>
      <c r="I62" s="47"/>
      <c r="J62" s="47"/>
      <c r="K62" s="47"/>
      <c r="L62" s="47"/>
      <c r="M62" s="47"/>
      <c r="N62" s="42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5">
      <c r="A63" s="47"/>
      <c r="B63" s="47"/>
      <c r="C63" s="47"/>
      <c r="D63" s="47"/>
      <c r="E63" s="47"/>
      <c r="F63" s="65"/>
      <c r="G63" s="65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5">
      <c r="A64" s="47"/>
      <c r="B64" s="47"/>
      <c r="C64" s="47"/>
      <c r="D64" s="47"/>
      <c r="E64" s="47"/>
      <c r="F64" s="65"/>
      <c r="G64" s="65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">
      <c r="A65" s="47"/>
      <c r="B65" s="47"/>
      <c r="C65" s="47"/>
      <c r="D65" s="47"/>
      <c r="E65" s="47"/>
      <c r="F65" s="65"/>
      <c r="G65" s="65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5">
      <c r="A66" s="47"/>
      <c r="B66" s="47"/>
      <c r="C66" s="47"/>
      <c r="D66" s="47"/>
      <c r="E66" s="47"/>
      <c r="F66" s="65"/>
      <c r="G66" s="65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">
      <c r="A67" s="47"/>
      <c r="B67" s="47"/>
      <c r="C67" s="47"/>
      <c r="D67" s="47"/>
      <c r="E67" s="47"/>
      <c r="F67" s="65"/>
      <c r="G67" s="65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">
      <c r="A68" s="47"/>
      <c r="B68" s="47"/>
      <c r="C68" s="47"/>
      <c r="D68" s="47"/>
      <c r="E68" s="47"/>
      <c r="F68" s="65"/>
      <c r="G68" s="65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5">
      <c r="A69" s="47"/>
      <c r="B69" s="47"/>
      <c r="C69" s="47"/>
      <c r="D69" s="47"/>
      <c r="E69" s="47"/>
      <c r="F69" s="65"/>
      <c r="G69" s="65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</sheetData>
  <sheetProtection/>
  <mergeCells count="44">
    <mergeCell ref="M2:N2"/>
    <mergeCell ref="D2:K2"/>
    <mergeCell ref="D3:K3"/>
    <mergeCell ref="L41:L42"/>
    <mergeCell ref="M41:M42"/>
    <mergeCell ref="Y12:Y13"/>
    <mergeCell ref="M3:N3"/>
    <mergeCell ref="O3:U3"/>
    <mergeCell ref="O2:U2"/>
    <mergeCell ref="L19:L20"/>
    <mergeCell ref="Z33:Z34"/>
    <mergeCell ref="H50:K50"/>
    <mergeCell ref="H51:K51"/>
    <mergeCell ref="X44:Y44"/>
    <mergeCell ref="V45:W45"/>
    <mergeCell ref="X45:Y45"/>
    <mergeCell ref="V43:W43"/>
    <mergeCell ref="T50:Y50"/>
    <mergeCell ref="T51:Y51"/>
    <mergeCell ref="L33:L34"/>
    <mergeCell ref="B57:P57"/>
    <mergeCell ref="O50:P50"/>
    <mergeCell ref="O51:P51"/>
    <mergeCell ref="X41:Y42"/>
    <mergeCell ref="X43:Y43"/>
    <mergeCell ref="V44:W44"/>
    <mergeCell ref="V41:W42"/>
    <mergeCell ref="Z5:Z6"/>
    <mergeCell ref="L12:L13"/>
    <mergeCell ref="M12:M13"/>
    <mergeCell ref="Z12:Z13"/>
    <mergeCell ref="L5:L6"/>
    <mergeCell ref="M5:M6"/>
    <mergeCell ref="Y5:Y6"/>
    <mergeCell ref="M33:M34"/>
    <mergeCell ref="Y33:Y34"/>
    <mergeCell ref="C4:D4"/>
    <mergeCell ref="Z19:Z20"/>
    <mergeCell ref="L26:L27"/>
    <mergeCell ref="M26:M27"/>
    <mergeCell ref="Y26:Y27"/>
    <mergeCell ref="Z26:Z27"/>
    <mergeCell ref="M19:M20"/>
    <mergeCell ref="Y19:Y20"/>
  </mergeCells>
  <printOptions horizontalCentered="1" verticalCentered="1"/>
  <pageMargins left="0.31496062992125984" right="0.1968503937007874" top="0.5118110236220472" bottom="0.8661417322834646" header="0.2755905511811024" footer="0.5118110236220472"/>
  <pageSetup fitToHeight="1" fitToWidth="1" horizontalDpi="600" verticalDpi="600" orientation="portrait" paperSize="9" scale="61" r:id="rId3"/>
  <headerFooter alignWithMargins="0">
    <oddHeader xml:space="preserve">&amp;C&amp;"Arial,Gras"&amp;14
&amp;R&amp;"Arial,Gras"&amp;14   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G25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24.57421875" style="89" customWidth="1"/>
    <col min="2" max="2" width="34.00390625" style="89" customWidth="1"/>
    <col min="3" max="3" width="11.57421875" style="89" customWidth="1"/>
    <col min="4" max="4" width="12.57421875" style="89" customWidth="1"/>
    <col min="5" max="5" width="4.8515625" style="89" customWidth="1"/>
    <col min="6" max="6" width="4.8515625" style="92" customWidth="1"/>
    <col min="7" max="16384" width="11.421875" style="71" customWidth="1"/>
  </cols>
  <sheetData>
    <row r="1" spans="1:6" s="79" customFormat="1" ht="15">
      <c r="A1" s="77"/>
      <c r="B1" s="77"/>
      <c r="C1" s="77"/>
      <c r="D1" s="77"/>
      <c r="E1" s="77"/>
      <c r="F1" s="78"/>
    </row>
    <row r="2" spans="6:7" s="80" customFormat="1" ht="90.75" customHeight="1">
      <c r="F2" s="81"/>
      <c r="G2" s="81"/>
    </row>
    <row r="3" spans="1:4" s="80" customFormat="1" ht="25.5" customHeight="1">
      <c r="A3" s="82" t="s">
        <v>67</v>
      </c>
      <c r="B3" s="282" t="str">
        <f>saison</f>
        <v>2021-2022</v>
      </c>
      <c r="C3" s="283"/>
      <c r="D3" s="83"/>
    </row>
    <row r="4" spans="1:4" s="80" customFormat="1" ht="21" customHeight="1">
      <c r="A4" s="82" t="s">
        <v>66</v>
      </c>
      <c r="B4" s="282" t="str">
        <f>date</f>
        <v>14 et 15 mai 2022</v>
      </c>
      <c r="C4" s="283"/>
      <c r="D4" s="83"/>
    </row>
    <row r="5" spans="1:6" s="79" customFormat="1" ht="15">
      <c r="A5" s="77"/>
      <c r="B5" s="77"/>
      <c r="C5" s="77"/>
      <c r="D5" s="77"/>
      <c r="E5" s="77"/>
      <c r="F5" s="78"/>
    </row>
    <row r="6" spans="1:3" s="79" customFormat="1" ht="18">
      <c r="A6" s="82" t="s">
        <v>65</v>
      </c>
      <c r="B6" s="84" t="str">
        <f>lieu</f>
        <v>Lagny sur Marne</v>
      </c>
      <c r="C6" s="85"/>
    </row>
    <row r="7" spans="1:3" s="79" customFormat="1" ht="18">
      <c r="A7" s="82" t="s">
        <v>73</v>
      </c>
      <c r="B7" s="84" t="str">
        <f>catégorie</f>
        <v>Benjamins</v>
      </c>
      <c r="C7" s="86"/>
    </row>
    <row r="8" spans="1:6" ht="15">
      <c r="A8" s="87"/>
      <c r="B8" s="87"/>
      <c r="C8" s="87"/>
      <c r="D8" s="87"/>
      <c r="E8" s="87"/>
      <c r="F8" s="88"/>
    </row>
    <row r="10" spans="2:3" ht="24.75" customHeight="1">
      <c r="B10" s="90">
        <f>Gagnant(poules!T50:Z51)</f>
      </c>
      <c r="C10" s="91">
        <v>1</v>
      </c>
    </row>
    <row r="11" spans="2:3" ht="24.75" customHeight="1">
      <c r="B11" s="93">
        <f>Perdant(poules!T50:Z51)</f>
      </c>
      <c r="C11" s="94">
        <v>2</v>
      </c>
    </row>
    <row r="12" spans="2:3" ht="24.75" customHeight="1">
      <c r="B12" s="93">
        <f>Gagnant(poules!O50:Q51)</f>
      </c>
      <c r="C12" s="94">
        <v>3</v>
      </c>
    </row>
    <row r="13" spans="2:3" ht="24.75" customHeight="1">
      <c r="B13" s="95">
        <f>Perdant(poules!O50:Q51)</f>
      </c>
      <c r="C13" s="91">
        <v>4</v>
      </c>
    </row>
    <row r="14" spans="2:3" ht="24.75" customHeight="1">
      <c r="B14" s="93">
        <f>_xlfn.IFERROR(INDEX(poules!C35:C38,MATCH(3,poules!K35:K38,0)),"")</f>
      </c>
      <c r="C14" s="91">
        <v>5</v>
      </c>
    </row>
    <row r="15" spans="2:3" ht="24.75" customHeight="1">
      <c r="B15" s="93">
        <f>_xlfn.IFERROR(INDEX(poules!C35:C38,MATCH(4,poules!K35:K38,0)),"")</f>
      </c>
      <c r="C15" s="91">
        <v>6</v>
      </c>
    </row>
    <row r="16" spans="2:3" ht="24.75" customHeight="1">
      <c r="B16" s="93">
        <f>_xlfn.IFERROR(INDEX(poules!P43:P45,MATCH(1,poules!U43:U45,0)),"")</f>
      </c>
      <c r="C16" s="91">
        <v>7</v>
      </c>
    </row>
    <row r="17" spans="2:3" ht="24.75" customHeight="1">
      <c r="B17" s="95">
        <f>_xlfn.IFERROR(INDEX(poules!P43:P45,MATCH(2,poules!U43:U45,0)),"")</f>
      </c>
      <c r="C17" s="91">
        <v>8</v>
      </c>
    </row>
    <row r="18" spans="2:3" ht="24.75" customHeight="1">
      <c r="B18" s="93">
        <f>_xlfn.IFERROR(INDEX(poules!P43:P45,MATCH(3,poules!U43:U45,0)),"")</f>
      </c>
      <c r="C18" s="91">
        <v>9</v>
      </c>
    </row>
    <row r="19" spans="2:7" s="89" customFormat="1" ht="24.75" customHeight="1">
      <c r="B19" s="95">
        <f>_xlfn.IFERROR(INDEX(poules!C43:C46,MATCH(2,poules!K43:K46,0)),"")</f>
      </c>
      <c r="C19" s="91">
        <v>10</v>
      </c>
      <c r="F19" s="92"/>
      <c r="G19" s="71"/>
    </row>
    <row r="20" spans="2:7" s="89" customFormat="1" ht="24.75" customHeight="1">
      <c r="B20" s="93">
        <f>_xlfn.IFERROR(INDEX(poules!C43:C46,MATCH(3,poules!K43:K46,0)),"")</f>
      </c>
      <c r="C20" s="91">
        <v>11</v>
      </c>
      <c r="F20" s="92"/>
      <c r="G20" s="71"/>
    </row>
    <row r="21" spans="2:7" s="89" customFormat="1" ht="25.5" customHeight="1">
      <c r="B21" s="95">
        <f>_xlfn.IFERROR(INDEX(poules!C43:C46,MATCH(4,poules!K43:K46,0)),"")</f>
      </c>
      <c r="C21" s="91">
        <v>12</v>
      </c>
      <c r="F21" s="92"/>
      <c r="G21" s="71"/>
    </row>
    <row r="22" spans="2:3" ht="25.5" customHeight="1">
      <c r="B22" s="95">
        <f>_xlfn.IFERROR(INDEX(poules!P35:P38,MATCH(1,poules!X35:X38,0)),"")</f>
      </c>
      <c r="C22" s="91">
        <v>13</v>
      </c>
    </row>
    <row r="23" spans="2:3" ht="25.5" customHeight="1">
      <c r="B23" s="95">
        <f>_xlfn.IFERROR(INDEX(poules!P35:P38,MATCH(2,poules!X35:X38,0)),"")</f>
      </c>
      <c r="C23" s="91">
        <v>14</v>
      </c>
    </row>
    <row r="24" spans="2:3" ht="25.5" customHeight="1">
      <c r="B24" s="95">
        <f>_xlfn.IFERROR(INDEX(poules!P35:P38,MATCH(3,poules!X35:X38,0)),"")</f>
      </c>
      <c r="C24" s="91">
        <v>15</v>
      </c>
    </row>
    <row r="25" spans="2:3" ht="25.5" customHeight="1">
      <c r="B25" s="95">
        <f>_xlfn.IFERROR(INDEX(poules!P35:P38,MATCH(4,poules!X35:X38,0)),"")</f>
      </c>
      <c r="C25" s="91">
        <v>16</v>
      </c>
    </row>
  </sheetData>
  <sheetProtection/>
  <mergeCells count="2">
    <mergeCell ref="B3:C3"/>
    <mergeCell ref="B4:C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K2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7.140625" style="242" customWidth="1"/>
    <col min="2" max="2" width="19.8515625" style="71" customWidth="1"/>
    <col min="3" max="3" width="17.8515625" style="71" customWidth="1"/>
    <col min="4" max="4" width="20.8515625" style="242" bestFit="1" customWidth="1"/>
    <col min="5" max="6" width="12.57421875" style="71" customWidth="1"/>
    <col min="7" max="7" width="11.140625" style="175" customWidth="1"/>
    <col min="8" max="10" width="11.421875" style="175" customWidth="1"/>
    <col min="11" max="16384" width="11.421875" style="71" customWidth="1"/>
  </cols>
  <sheetData>
    <row r="1" spans="1:11" ht="12">
      <c r="A1" s="241" t="s">
        <v>169</v>
      </c>
      <c r="B1" s="173" t="s">
        <v>170</v>
      </c>
      <c r="C1" s="173" t="s">
        <v>171</v>
      </c>
      <c r="D1" s="241" t="s">
        <v>172</v>
      </c>
      <c r="E1" s="174" t="s">
        <v>173</v>
      </c>
      <c r="F1" s="174" t="s">
        <v>174</v>
      </c>
      <c r="G1" s="174" t="s">
        <v>175</v>
      </c>
      <c r="H1" s="240" t="s">
        <v>184</v>
      </c>
      <c r="I1" s="240" t="s">
        <v>185</v>
      </c>
      <c r="J1" s="240" t="s">
        <v>186</v>
      </c>
      <c r="K1" s="238" t="s">
        <v>188</v>
      </c>
    </row>
    <row r="2" spans="1:11" ht="12">
      <c r="A2" s="242" t="s">
        <v>193</v>
      </c>
      <c r="B2" s="71" t="s">
        <v>215</v>
      </c>
      <c r="C2" s="71" t="s">
        <v>183</v>
      </c>
      <c r="D2" s="242" t="s">
        <v>224</v>
      </c>
      <c r="E2" s="175">
        <f>COUNTIF(grille!M$7:M$68,$D2)</f>
        <v>0</v>
      </c>
      <c r="F2" s="175">
        <f>COUNTIF(grille!N$7:O$68,$D2)</f>
        <v>0</v>
      </c>
      <c r="G2" s="175">
        <v>1</v>
      </c>
      <c r="H2" s="175">
        <v>1</v>
      </c>
      <c r="I2" s="175">
        <v>1</v>
      </c>
      <c r="J2" s="175">
        <v>1</v>
      </c>
      <c r="K2" s="71" t="s">
        <v>211</v>
      </c>
    </row>
    <row r="3" spans="1:11" ht="12">
      <c r="A3" s="242" t="s">
        <v>195</v>
      </c>
      <c r="B3" s="71" t="s">
        <v>217</v>
      </c>
      <c r="C3" s="71" t="s">
        <v>176</v>
      </c>
      <c r="D3" s="242" t="s">
        <v>226</v>
      </c>
      <c r="E3" s="175">
        <f>COUNTIF(grille!M$7:M$68,$D3)</f>
        <v>0</v>
      </c>
      <c r="F3" s="175">
        <f>COUNTIF(grille!N$7:O$68,$D3)</f>
        <v>0</v>
      </c>
      <c r="G3" s="175">
        <v>1</v>
      </c>
      <c r="H3" s="175">
        <v>2</v>
      </c>
      <c r="I3" s="175">
        <v>0</v>
      </c>
      <c r="J3" s="175">
        <v>1</v>
      </c>
      <c r="K3" s="71" t="s">
        <v>203</v>
      </c>
    </row>
    <row r="4" spans="1:11" ht="12">
      <c r="A4" s="242" t="s">
        <v>199</v>
      </c>
      <c r="B4" s="71" t="s">
        <v>221</v>
      </c>
      <c r="C4" s="71" t="s">
        <v>180</v>
      </c>
      <c r="D4" s="242" t="s">
        <v>230</v>
      </c>
      <c r="E4" s="175">
        <f>COUNTIF(grille!M$7:M$68,$D4)</f>
        <v>0</v>
      </c>
      <c r="F4" s="175">
        <f>COUNTIF(grille!N$7:O$68,$D4)</f>
        <v>0</v>
      </c>
      <c r="G4" s="175">
        <v>1</v>
      </c>
      <c r="H4" s="175">
        <v>1</v>
      </c>
      <c r="I4" s="175">
        <v>0</v>
      </c>
      <c r="J4" s="175">
        <v>1</v>
      </c>
      <c r="K4" s="71" t="s">
        <v>204</v>
      </c>
    </row>
    <row r="5" spans="1:11" ht="12">
      <c r="A5" s="242" t="s">
        <v>198</v>
      </c>
      <c r="B5" s="71" t="s">
        <v>220</v>
      </c>
      <c r="C5" s="71" t="s">
        <v>179</v>
      </c>
      <c r="D5" s="242" t="s">
        <v>229</v>
      </c>
      <c r="E5" s="175">
        <f>COUNTIF(grille!M$7:M$68,$D5)</f>
        <v>0</v>
      </c>
      <c r="F5" s="175">
        <f>COUNTIF(grille!N$7:O$68,$D5)</f>
        <v>0</v>
      </c>
      <c r="G5" s="175">
        <v>1</v>
      </c>
      <c r="H5" s="175">
        <v>0</v>
      </c>
      <c r="I5" s="175">
        <v>0</v>
      </c>
      <c r="J5" s="175">
        <v>1</v>
      </c>
      <c r="K5" s="71" t="s">
        <v>208</v>
      </c>
    </row>
    <row r="6" spans="1:11" ht="12">
      <c r="A6" s="242" t="s">
        <v>194</v>
      </c>
      <c r="B6" s="71" t="s">
        <v>216</v>
      </c>
      <c r="C6" s="71" t="s">
        <v>178</v>
      </c>
      <c r="D6" s="242" t="s">
        <v>225</v>
      </c>
      <c r="E6" s="175">
        <f>COUNTIF(grille!M$7:M$68,$D6)</f>
        <v>0</v>
      </c>
      <c r="F6" s="175">
        <f>COUNTIF(grille!N$7:O$68,$D6)</f>
        <v>0</v>
      </c>
      <c r="G6" s="175">
        <v>1</v>
      </c>
      <c r="H6" s="175">
        <v>0</v>
      </c>
      <c r="I6" s="175">
        <v>0</v>
      </c>
      <c r="J6" s="175">
        <v>1</v>
      </c>
      <c r="K6" s="71" t="s">
        <v>207</v>
      </c>
    </row>
    <row r="7" spans="1:11" ht="12">
      <c r="A7" s="242" t="s">
        <v>192</v>
      </c>
      <c r="B7" s="71" t="s">
        <v>214</v>
      </c>
      <c r="C7" s="71" t="s">
        <v>181</v>
      </c>
      <c r="D7" s="242" t="s">
        <v>223</v>
      </c>
      <c r="E7" s="175">
        <f>COUNTIF(grille!M$7:M$68,$D7)</f>
        <v>0</v>
      </c>
      <c r="F7" s="175">
        <f>COUNTIF(grille!N$7:O$68,$D7)</f>
        <v>0</v>
      </c>
      <c r="G7" s="175">
        <v>7</v>
      </c>
      <c r="H7" s="175">
        <v>0</v>
      </c>
      <c r="I7" s="175">
        <v>0</v>
      </c>
      <c r="J7" s="175">
        <v>1</v>
      </c>
      <c r="K7" s="71" t="s">
        <v>206</v>
      </c>
    </row>
    <row r="8" spans="1:11" ht="12">
      <c r="A8" s="242" t="s">
        <v>196</v>
      </c>
      <c r="B8" s="71" t="s">
        <v>218</v>
      </c>
      <c r="C8" s="71" t="s">
        <v>177</v>
      </c>
      <c r="D8" s="242" t="s">
        <v>227</v>
      </c>
      <c r="E8" s="175">
        <f>COUNTIF(grille!M$7:M$68,$D8)</f>
        <v>0</v>
      </c>
      <c r="F8" s="175">
        <f>COUNTIF(grille!N$7:O$68,$D8)</f>
        <v>0</v>
      </c>
      <c r="G8" s="175">
        <v>7</v>
      </c>
      <c r="H8" s="175">
        <v>3</v>
      </c>
      <c r="I8" s="175">
        <v>1</v>
      </c>
      <c r="J8" s="175">
        <v>1</v>
      </c>
      <c r="K8" s="71" t="s">
        <v>209</v>
      </c>
    </row>
    <row r="9" spans="1:11" ht="12">
      <c r="A9" s="242" t="s">
        <v>197</v>
      </c>
      <c r="B9" s="71" t="s">
        <v>219</v>
      </c>
      <c r="C9" s="71" t="s">
        <v>180</v>
      </c>
      <c r="D9" s="242" t="s">
        <v>228</v>
      </c>
      <c r="E9" s="175">
        <f>COUNTIF(grille!M$7:M$68,$D9)</f>
        <v>0</v>
      </c>
      <c r="F9" s="175">
        <f>COUNTIF(grille!N$7:O$68,$D9)</f>
        <v>0</v>
      </c>
      <c r="G9" s="175">
        <v>7</v>
      </c>
      <c r="H9" s="175">
        <v>2</v>
      </c>
      <c r="I9" s="175">
        <v>1</v>
      </c>
      <c r="J9" s="175">
        <v>1</v>
      </c>
      <c r="K9" s="71" t="s">
        <v>210</v>
      </c>
    </row>
    <row r="10" spans="1:11" ht="12">
      <c r="A10" s="242" t="s">
        <v>200</v>
      </c>
      <c r="B10" s="71" t="s">
        <v>222</v>
      </c>
      <c r="C10" s="71" t="s">
        <v>182</v>
      </c>
      <c r="D10" s="242" t="s">
        <v>231</v>
      </c>
      <c r="E10" s="175">
        <f>COUNTIF(grille!M$7:M$68,$D10)</f>
        <v>0</v>
      </c>
      <c r="F10" s="175">
        <f>COUNTIF(grille!N$7:O$68,$D10)</f>
        <v>0</v>
      </c>
      <c r="G10" s="175">
        <v>7</v>
      </c>
      <c r="H10" s="175">
        <v>1</v>
      </c>
      <c r="I10" s="175">
        <v>0</v>
      </c>
      <c r="J10" s="175">
        <v>1</v>
      </c>
      <c r="K10" s="71" t="s">
        <v>205</v>
      </c>
    </row>
    <row r="11" spans="5:6" ht="12">
      <c r="E11" s="175"/>
      <c r="F11" s="175"/>
    </row>
    <row r="12" spans="5:6" ht="12">
      <c r="E12" s="175"/>
      <c r="F12" s="175"/>
    </row>
    <row r="13" spans="5:6" ht="12">
      <c r="E13" s="175"/>
      <c r="F13" s="175"/>
    </row>
    <row r="14" spans="5:6" ht="12">
      <c r="E14" s="175"/>
      <c r="F14" s="175"/>
    </row>
    <row r="15" spans="5:6" ht="12">
      <c r="E15" s="175"/>
      <c r="F15" s="175"/>
    </row>
    <row r="16" spans="5:6" ht="12">
      <c r="E16" s="175"/>
      <c r="F16" s="175"/>
    </row>
    <row r="17" spans="5:6" ht="12">
      <c r="E17" s="175"/>
      <c r="F17" s="175"/>
    </row>
    <row r="18" spans="5:6" ht="12">
      <c r="E18" s="175"/>
      <c r="F18" s="175"/>
    </row>
    <row r="19" spans="5:6" ht="12">
      <c r="E19" s="175"/>
      <c r="F19" s="175"/>
    </row>
    <row r="20" spans="5:6" ht="12">
      <c r="E20" s="175"/>
      <c r="F20" s="175"/>
    </row>
    <row r="21" spans="5:6" ht="12">
      <c r="E21" s="175"/>
      <c r="F21" s="175"/>
    </row>
    <row r="22" spans="5:6" ht="12">
      <c r="E22" s="175"/>
      <c r="F22" s="175"/>
    </row>
    <row r="23" spans="5:6" ht="12">
      <c r="E23" s="175"/>
      <c r="F23" s="175"/>
    </row>
    <row r="24" spans="5:6" ht="12">
      <c r="E24" s="175"/>
      <c r="F24" s="175"/>
    </row>
    <row r="25" spans="5:6" ht="12">
      <c r="E25" s="175"/>
      <c r="F25" s="175"/>
    </row>
    <row r="26" spans="5:6" ht="12">
      <c r="E26" s="175"/>
      <c r="F26" s="175"/>
    </row>
    <row r="27" spans="5:6" ht="12">
      <c r="E27" s="175"/>
      <c r="F27" s="175"/>
    </row>
    <row r="28" spans="5:6" ht="12">
      <c r="E28" s="175"/>
      <c r="F28" s="175"/>
    </row>
    <row r="29" spans="5:6" ht="12">
      <c r="E29" s="175"/>
      <c r="F29" s="17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ROUSSEL CECILE</cp:lastModifiedBy>
  <cp:lastPrinted>2018-02-15T18:29:58Z</cp:lastPrinted>
  <dcterms:created xsi:type="dcterms:W3CDTF">1997-11-08T13:41:57Z</dcterms:created>
  <dcterms:modified xsi:type="dcterms:W3CDTF">2022-05-05T20:15:44Z</dcterms:modified>
  <cp:category/>
  <cp:version/>
  <cp:contentType/>
  <cp:contentStatus/>
</cp:coreProperties>
</file>